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S-2\Desktop\Решения 11.02.2021г\"/>
    </mc:Choice>
  </mc:AlternateContent>
  <bookViews>
    <workbookView xWindow="0" yWindow="0" windowWidth="19200" windowHeight="11490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N43" i="1" l="1"/>
  <c r="P43" i="1"/>
  <c r="D22" i="1"/>
  <c r="Q8" i="1" l="1"/>
  <c r="D36" i="1" l="1"/>
  <c r="P26" i="1" l="1"/>
  <c r="D40" i="1" l="1"/>
  <c r="C23" i="1"/>
  <c r="P47" i="1"/>
  <c r="D47" i="1" s="1"/>
  <c r="H46" i="1"/>
  <c r="P39" i="1"/>
  <c r="P38" i="1" s="1"/>
  <c r="H33" i="1"/>
  <c r="H34" i="1"/>
  <c r="P34" i="1"/>
  <c r="P33" i="1" s="1"/>
  <c r="P35" i="1"/>
  <c r="D28" i="1"/>
  <c r="H28" i="1"/>
  <c r="P31" i="1"/>
  <c r="P30" i="1" s="1"/>
  <c r="D46" i="1" l="1"/>
  <c r="D31" i="1"/>
  <c r="H26" i="1"/>
  <c r="H25" i="1" s="1"/>
  <c r="H21" i="1"/>
  <c r="P19" i="1"/>
  <c r="P18" i="1" s="1"/>
  <c r="L17" i="1"/>
  <c r="L44" i="1" s="1"/>
  <c r="L48" i="1" s="1"/>
  <c r="L18" i="1"/>
  <c r="L45" i="1" s="1"/>
  <c r="H18" i="1"/>
  <c r="H16" i="1"/>
  <c r="H17" i="1" s="1"/>
  <c r="H12" i="1"/>
  <c r="H14" i="1"/>
  <c r="H45" i="1" s="1"/>
  <c r="D12" i="1"/>
  <c r="H13" i="1"/>
  <c r="P10" i="1"/>
  <c r="P9" i="1" s="1"/>
  <c r="P44" i="1" s="1"/>
  <c r="P11" i="1"/>
  <c r="P46" i="1" s="1"/>
  <c r="H44" i="1" l="1"/>
  <c r="P45" i="1"/>
  <c r="D45" i="1" s="1"/>
  <c r="G46" i="1"/>
  <c r="C42" i="1"/>
  <c r="C41" i="1"/>
  <c r="C40" i="1"/>
  <c r="C39" i="1"/>
  <c r="C36" i="1"/>
  <c r="C32" i="1"/>
  <c r="C29" i="1"/>
  <c r="C28" i="1"/>
  <c r="C27" i="1"/>
  <c r="C24" i="1"/>
  <c r="C22" i="1"/>
  <c r="C20" i="1"/>
  <c r="C16" i="1"/>
  <c r="C15" i="1"/>
  <c r="C14" i="1"/>
  <c r="C12" i="1"/>
  <c r="K8" i="1"/>
  <c r="G8" i="1"/>
  <c r="C8" i="1"/>
  <c r="O38" i="1"/>
  <c r="C38" i="1" s="1"/>
  <c r="O39" i="1"/>
  <c r="O34" i="1"/>
  <c r="O35" i="1"/>
  <c r="C35" i="1" s="1"/>
  <c r="G34" i="1"/>
  <c r="C34" i="1" s="1"/>
  <c r="O30" i="1"/>
  <c r="C30" i="1" s="1"/>
  <c r="O26" i="1"/>
  <c r="O25" i="1" s="1"/>
  <c r="G26" i="1"/>
  <c r="C26" i="1" s="1"/>
  <c r="O22" i="1"/>
  <c r="G21" i="1"/>
  <c r="C21" i="1" s="1"/>
  <c r="K18" i="1"/>
  <c r="K45" i="1" s="1"/>
  <c r="O18" i="1"/>
  <c r="G19" i="1"/>
  <c r="C19" i="1" s="1"/>
  <c r="G18" i="1"/>
  <c r="G45" i="1" s="1"/>
  <c r="C45" i="1" s="1"/>
  <c r="G13" i="1"/>
  <c r="O11" i="1"/>
  <c r="O10" i="1"/>
  <c r="O45" i="1" s="1"/>
  <c r="F46" i="1"/>
  <c r="B40" i="1"/>
  <c r="B36" i="1"/>
  <c r="B32" i="1"/>
  <c r="B29" i="1"/>
  <c r="B28" i="1"/>
  <c r="B26" i="1"/>
  <c r="B24" i="1"/>
  <c r="B23" i="1"/>
  <c r="B20" i="1"/>
  <c r="B16" i="1"/>
  <c r="B15" i="1"/>
  <c r="B14" i="1"/>
  <c r="B13" i="1"/>
  <c r="B12" i="1"/>
  <c r="B11" i="1"/>
  <c r="B10" i="1"/>
  <c r="N38" i="1"/>
  <c r="B38" i="1" s="1"/>
  <c r="N39" i="1"/>
  <c r="B39" i="1" s="1"/>
  <c r="N35" i="1"/>
  <c r="N33" i="1" s="1"/>
  <c r="F34" i="1"/>
  <c r="B34" i="1" s="1"/>
  <c r="N31" i="1"/>
  <c r="N30" i="1" s="1"/>
  <c r="B30" i="1" s="1"/>
  <c r="N25" i="1"/>
  <c r="F25" i="1"/>
  <c r="B25" i="1" s="1"/>
  <c r="F26" i="1"/>
  <c r="F21" i="1"/>
  <c r="B21" i="1" s="1"/>
  <c r="I23" i="1"/>
  <c r="N18" i="1"/>
  <c r="J18" i="1"/>
  <c r="J17" i="1"/>
  <c r="F18" i="1"/>
  <c r="B18" i="1" s="1"/>
  <c r="F13" i="1"/>
  <c r="N9" i="1"/>
  <c r="B9" i="1" s="1"/>
  <c r="N11" i="1"/>
  <c r="H8" i="1"/>
  <c r="H43" i="1" s="1"/>
  <c r="N37" i="1" l="1"/>
  <c r="B37" i="1" s="1"/>
  <c r="B31" i="1"/>
  <c r="B35" i="1"/>
  <c r="F45" i="1"/>
  <c r="O9" i="1"/>
  <c r="G17" i="1"/>
  <c r="O33" i="1"/>
  <c r="C10" i="1"/>
  <c r="C18" i="1"/>
  <c r="D44" i="1"/>
  <c r="H48" i="1"/>
  <c r="F17" i="1"/>
  <c r="B17" i="1" s="1"/>
  <c r="F33" i="1"/>
  <c r="B33" i="1" s="1"/>
  <c r="K17" i="1"/>
  <c r="K44" i="1" s="1"/>
  <c r="G25" i="1"/>
  <c r="C25" i="1" s="1"/>
  <c r="O31" i="1"/>
  <c r="C31" i="1" s="1"/>
  <c r="G33" i="1"/>
  <c r="C33" i="1" s="1"/>
  <c r="O37" i="1"/>
  <c r="C37" i="1" s="1"/>
  <c r="C11" i="1"/>
  <c r="C13" i="1"/>
  <c r="P48" i="1"/>
  <c r="D48" i="1" s="1"/>
  <c r="D39" i="1"/>
  <c r="C17" i="1" l="1"/>
  <c r="O46" i="1"/>
  <c r="C46" i="1" s="1"/>
  <c r="O44" i="1"/>
  <c r="C9" i="1"/>
  <c r="G44" i="1"/>
  <c r="D35" i="1"/>
  <c r="Q35" i="1"/>
  <c r="G48" i="1" l="1"/>
  <c r="C44" i="1"/>
  <c r="Q24" i="1"/>
  <c r="D11" i="1"/>
  <c r="E11" i="1" s="1"/>
  <c r="D13" i="1"/>
  <c r="D15" i="1"/>
  <c r="E15" i="1" s="1"/>
  <c r="D19" i="1"/>
  <c r="D20" i="1"/>
  <c r="D21" i="1"/>
  <c r="E21" i="1" s="1"/>
  <c r="D23" i="1"/>
  <c r="E23" i="1" s="1"/>
  <c r="D27" i="1"/>
  <c r="D29" i="1"/>
  <c r="D30" i="1"/>
  <c r="D32" i="1"/>
  <c r="D33" i="1"/>
  <c r="E33" i="1" s="1"/>
  <c r="D34" i="1"/>
  <c r="D37" i="1"/>
  <c r="D38" i="1"/>
  <c r="D41" i="1"/>
  <c r="D42" i="1"/>
  <c r="O43" i="1"/>
  <c r="L8" i="1"/>
  <c r="L43" i="1" s="1"/>
  <c r="D43" i="1" s="1"/>
  <c r="I33" i="1"/>
  <c r="D24" i="1"/>
  <c r="D16" i="1"/>
  <c r="D9" i="1"/>
  <c r="Q9" i="1"/>
  <c r="Q11" i="1"/>
  <c r="Q16" i="1"/>
  <c r="Q19" i="1"/>
  <c r="Q20" i="1"/>
  <c r="Q25" i="1"/>
  <c r="Q28" i="1"/>
  <c r="Q31" i="1"/>
  <c r="Q32" i="1"/>
  <c r="Q33" i="1"/>
  <c r="Q36" i="1"/>
  <c r="Q39" i="1"/>
  <c r="Q40" i="1"/>
  <c r="Q41" i="1"/>
  <c r="Q42" i="1"/>
  <c r="M16" i="1"/>
  <c r="M9" i="1"/>
  <c r="M8" i="1"/>
  <c r="I19" i="1"/>
  <c r="I20" i="1"/>
  <c r="I21" i="1"/>
  <c r="I25" i="1"/>
  <c r="I32" i="1"/>
  <c r="I35" i="1"/>
  <c r="I15" i="1"/>
  <c r="I13" i="1"/>
  <c r="I12" i="1"/>
  <c r="I9" i="1"/>
  <c r="O47" i="1"/>
  <c r="C47" i="1" s="1"/>
  <c r="G43" i="1"/>
  <c r="E13" i="1"/>
  <c r="B19" i="1"/>
  <c r="E19" i="1" s="1"/>
  <c r="B27" i="1"/>
  <c r="E31" i="1"/>
  <c r="E35" i="1"/>
  <c r="E39" i="1"/>
  <c r="B41" i="1"/>
  <c r="B42" i="1"/>
  <c r="J43" i="1"/>
  <c r="K43" i="1"/>
  <c r="N47" i="1"/>
  <c r="Q47" i="1" s="1"/>
  <c r="N46" i="1"/>
  <c r="Q34" i="1"/>
  <c r="Q30" i="1"/>
  <c r="Q26" i="1"/>
  <c r="N22" i="1"/>
  <c r="J44" i="1"/>
  <c r="J45" i="1"/>
  <c r="I46" i="1"/>
  <c r="F44" i="1"/>
  <c r="I34" i="1"/>
  <c r="I26" i="1"/>
  <c r="I22" i="1"/>
  <c r="I18" i="1"/>
  <c r="F8" i="1"/>
  <c r="I8" i="1" l="1"/>
  <c r="B8" i="1"/>
  <c r="Q22" i="1"/>
  <c r="B22" i="1"/>
  <c r="E22" i="1" s="1"/>
  <c r="Q46" i="1"/>
  <c r="B46" i="1"/>
  <c r="E41" i="1"/>
  <c r="M17" i="1"/>
  <c r="E16" i="1"/>
  <c r="I17" i="1"/>
  <c r="E40" i="1"/>
  <c r="E42" i="1"/>
  <c r="E28" i="1"/>
  <c r="E24" i="1"/>
  <c r="M43" i="1"/>
  <c r="J48" i="1"/>
  <c r="C43" i="1"/>
  <c r="I45" i="1"/>
  <c r="I16" i="1"/>
  <c r="O48" i="1"/>
  <c r="E9" i="1"/>
  <c r="E46" i="1"/>
  <c r="F43" i="1"/>
  <c r="B43" i="1" s="1"/>
  <c r="B47" i="1"/>
  <c r="E47" i="1" s="1"/>
  <c r="E34" i="1"/>
  <c r="E30" i="1"/>
  <c r="I24" i="1"/>
  <c r="E32" i="1"/>
  <c r="E20" i="1"/>
  <c r="D17" i="1"/>
  <c r="K48" i="1"/>
  <c r="I14" i="1"/>
  <c r="E36" i="1"/>
  <c r="D25" i="1"/>
  <c r="E25" i="1" s="1"/>
  <c r="D26" i="1"/>
  <c r="E26" i="1" s="1"/>
  <c r="C48" i="1" l="1"/>
  <c r="F48" i="1"/>
  <c r="I43" i="1"/>
  <c r="I44" i="1"/>
  <c r="D18" i="1"/>
  <c r="M48" i="1"/>
  <c r="M18" i="1"/>
  <c r="D8" i="1"/>
  <c r="E8" i="1" s="1"/>
  <c r="D10" i="1"/>
  <c r="E10" i="1" s="1"/>
  <c r="I48" i="1" l="1"/>
  <c r="Q10" i="1"/>
  <c r="Q14" i="1"/>
  <c r="D14" i="1"/>
  <c r="E14" i="1" s="1"/>
  <c r="Q12" i="1"/>
  <c r="E12" i="1" l="1"/>
  <c r="E43" i="1"/>
  <c r="Q43" i="1" l="1"/>
  <c r="E17" i="1"/>
  <c r="Q18" i="1"/>
  <c r="E18" i="1" l="1"/>
  <c r="Q38" i="1"/>
  <c r="E38" i="1"/>
  <c r="Q37" i="1"/>
  <c r="N45" i="1"/>
  <c r="Q45" i="1" l="1"/>
  <c r="B45" i="1"/>
  <c r="E45" i="1"/>
  <c r="N44" i="1"/>
  <c r="B44" i="1" s="1"/>
  <c r="E37" i="1"/>
  <c r="Q44" i="1" l="1"/>
  <c r="E44" i="1"/>
  <c r="N48" i="1"/>
  <c r="Q48" i="1" l="1"/>
  <c r="B48" i="1"/>
  <c r="E48" i="1" l="1"/>
</calcChain>
</file>

<file path=xl/sharedStrings.xml><?xml version="1.0" encoding="utf-8"?>
<sst xmlns="http://schemas.openxmlformats.org/spreadsheetml/2006/main" count="82" uniqueCount="43">
  <si>
    <r>
      <rPr>
        <b/>
        <sz val="7.5"/>
        <rFont val="Arial"/>
        <family val="2"/>
      </rPr>
      <t>Наименование</t>
    </r>
  </si>
  <si>
    <r>
      <rPr>
        <b/>
        <sz val="7.5"/>
        <rFont val="Arial"/>
        <family val="2"/>
      </rPr>
      <t>Общо</t>
    </r>
  </si>
  <si>
    <r>
      <rPr>
        <b/>
        <sz val="7.5"/>
        <rFont val="Arial"/>
        <family val="2"/>
      </rPr>
      <t>Държавни дейности</t>
    </r>
  </si>
  <si>
    <r>
      <rPr>
        <b/>
        <sz val="7.5"/>
        <rFont val="Arial"/>
        <family val="2"/>
      </rPr>
      <t>Дофинансиране</t>
    </r>
  </si>
  <si>
    <r>
      <rPr>
        <b/>
        <sz val="7.5"/>
        <rFont val="Arial"/>
        <family val="2"/>
      </rPr>
      <t>Общински дейности</t>
    </r>
  </si>
  <si>
    <r>
      <rPr>
        <b/>
        <sz val="7.5"/>
        <rFont val="Arial"/>
        <family val="2"/>
      </rPr>
      <t>на функцията</t>
    </r>
  </si>
  <si>
    <r>
      <rPr>
        <b/>
        <sz val="7.5"/>
        <rFont val="Arial"/>
        <family val="2"/>
      </rPr>
      <t>Първонач.</t>
    </r>
  </si>
  <si>
    <r>
      <rPr>
        <b/>
        <sz val="7.5"/>
        <rFont val="Arial"/>
        <family val="2"/>
      </rPr>
      <t>Отчет</t>
    </r>
  </si>
  <si>
    <r>
      <rPr>
        <b/>
        <sz val="7.5"/>
        <rFont val="Arial"/>
        <family val="2"/>
      </rPr>
      <t>Бюджет</t>
    </r>
  </si>
  <si>
    <r>
      <rPr>
        <b/>
        <sz val="7.5"/>
        <rFont val="Arial"/>
        <family val="2"/>
      </rPr>
      <t>к.4/</t>
    </r>
  </si>
  <si>
    <r>
      <rPr>
        <b/>
        <sz val="7.5"/>
        <rFont val="Arial"/>
        <family val="2"/>
      </rPr>
      <t>к.8/</t>
    </r>
  </si>
  <si>
    <r>
      <rPr>
        <b/>
        <sz val="7.5"/>
        <rFont val="Arial"/>
        <family val="2"/>
      </rPr>
      <t>к.12/</t>
    </r>
  </si>
  <si>
    <r>
      <rPr>
        <b/>
        <sz val="7.5"/>
        <rFont val="Arial"/>
        <family val="2"/>
      </rPr>
      <t>к.16/</t>
    </r>
  </si>
  <si>
    <r>
      <rPr>
        <b/>
        <sz val="7.5"/>
        <rFont val="Arial"/>
        <family val="2"/>
      </rPr>
      <t>к.2</t>
    </r>
  </si>
  <si>
    <r>
      <rPr>
        <b/>
        <sz val="7.5"/>
        <rFont val="Arial"/>
        <family val="2"/>
      </rPr>
      <t>к.6</t>
    </r>
  </si>
  <si>
    <r>
      <rPr>
        <b/>
        <sz val="7.5"/>
        <rFont val="Arial"/>
        <family val="2"/>
      </rPr>
      <t>к.10</t>
    </r>
  </si>
  <si>
    <r>
      <rPr>
        <b/>
        <sz val="7.5"/>
        <rFont val="Arial"/>
        <family val="2"/>
      </rPr>
      <t>к.14</t>
    </r>
  </si>
  <si>
    <r>
      <rPr>
        <b/>
        <sz val="7.5"/>
        <rFont val="Arial"/>
        <family val="2"/>
      </rPr>
      <t>І.Общи държавни служб</t>
    </r>
  </si>
  <si>
    <r>
      <rPr>
        <sz val="7.5"/>
        <rFont val="Arial"/>
        <family val="2"/>
      </rPr>
      <t>&gt;трудови разходи</t>
    </r>
  </si>
  <si>
    <r>
      <rPr>
        <sz val="7.5"/>
        <rFont val="Arial"/>
        <family val="2"/>
      </rPr>
      <t>&gt;издръжка</t>
    </r>
  </si>
  <si>
    <r>
      <rPr>
        <sz val="7.5"/>
        <rFont val="Arial"/>
        <family val="2"/>
      </rPr>
      <t>&gt;капиталови разходи</t>
    </r>
  </si>
  <si>
    <r>
      <rPr>
        <b/>
        <sz val="7.5"/>
        <rFont val="Arial"/>
        <family val="2"/>
      </rPr>
      <t>ІІ.Отбрана и сигурност</t>
    </r>
  </si>
  <si>
    <r>
      <rPr>
        <b/>
        <sz val="7.5"/>
        <rFont val="Arial"/>
        <family val="2"/>
      </rPr>
      <t>ІІІ.Образование</t>
    </r>
  </si>
  <si>
    <r>
      <rPr>
        <sz val="7.5"/>
        <rFont val="Arial"/>
        <family val="2"/>
      </rPr>
      <t>&gt; резерв</t>
    </r>
  </si>
  <si>
    <r>
      <rPr>
        <b/>
        <sz val="7.5"/>
        <rFont val="Arial"/>
        <family val="2"/>
      </rPr>
      <t>ІV.Здравеопазване</t>
    </r>
  </si>
  <si>
    <r>
      <rPr>
        <b/>
        <sz val="7.5"/>
        <rFont val="Arial"/>
        <family val="2"/>
      </rPr>
      <t>V.Социално осиг.и грижи</t>
    </r>
  </si>
  <si>
    <r>
      <rPr>
        <sz val="7.5"/>
        <rFont val="Arial"/>
        <family val="2"/>
      </rPr>
      <t>&gt;резерв</t>
    </r>
  </si>
  <si>
    <r>
      <rPr>
        <b/>
        <sz val="7.5"/>
        <rFont val="Arial"/>
        <family val="2"/>
      </rPr>
      <t>VІ.Благоустрояване</t>
    </r>
  </si>
  <si>
    <r>
      <rPr>
        <b/>
        <sz val="7.5"/>
        <rFont val="Arial"/>
        <family val="2"/>
      </rPr>
      <t>VІІ.Култура,почивно дел</t>
    </r>
  </si>
  <si>
    <r>
      <rPr>
        <b/>
        <sz val="7.5"/>
        <rFont val="Arial"/>
        <family val="2"/>
      </rPr>
      <t>VІІІ.Икономически дейн.</t>
    </r>
  </si>
  <si>
    <r>
      <rPr>
        <b/>
        <sz val="7.5"/>
        <rFont val="Arial"/>
        <family val="2"/>
      </rPr>
      <t>ІХ. Други</t>
    </r>
  </si>
  <si>
    <r>
      <rPr>
        <sz val="7.5"/>
        <rFont val="Arial"/>
        <family val="2"/>
      </rPr>
      <t>&gt;разходи за лихви</t>
    </r>
  </si>
  <si>
    <r>
      <rPr>
        <b/>
        <sz val="7.5"/>
        <rFont val="Arial"/>
        <family val="2"/>
      </rPr>
      <t>Общо:</t>
    </r>
  </si>
  <si>
    <t>ОБЩИНА ПЕРНИК</t>
  </si>
  <si>
    <r>
      <rPr>
        <b/>
        <sz val="8"/>
        <rFont val="Arial"/>
        <family val="2"/>
      </rPr>
      <t>Всички функции</t>
    </r>
  </si>
  <si>
    <t xml:space="preserve"> КМЕТ: Станислав Владимиров/</t>
  </si>
  <si>
    <t xml:space="preserve">   (име, фамилия, подпис)</t>
  </si>
  <si>
    <t xml:space="preserve"> (име, фамилия, подпис)</t>
  </si>
  <si>
    <t>Изтотвил:  Елица Манова-Началник БФ</t>
  </si>
  <si>
    <t>бюджет-2020</t>
  </si>
  <si>
    <t>2021 г.</t>
  </si>
  <si>
    <r>
      <t xml:space="preserve">                </t>
    </r>
    <r>
      <rPr>
        <b/>
        <i/>
        <sz val="10"/>
        <rFont val="Times New Roman"/>
        <family val="1"/>
        <charset val="204"/>
      </rPr>
      <t xml:space="preserve">                                                        Приложение № 2</t>
    </r>
  </si>
  <si>
    <t>РАЗХОДИ ПО ФУНКЦИИ  - БЮДЖЕТ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</si>
</sst>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Times New Roman"/>
      <charset val="204"/>
    </font>
    <font>
      <b/>
      <sz val="11.5"/>
      <name val="Arial"/>
      <family val="2"/>
      <charset val="204"/>
    </font>
    <font>
      <b/>
      <sz val="7.5"/>
      <name val="Arial"/>
      <family val="2"/>
      <charset val="204"/>
    </font>
    <font>
      <b/>
      <sz val="7.5"/>
      <color rgb="FF000000"/>
      <name val="Arial"/>
      <family val="2"/>
    </font>
    <font>
      <sz val="7.5"/>
      <name val="Arial"/>
      <family val="2"/>
      <charset val="204"/>
    </font>
    <font>
      <sz val="7.5"/>
      <color rgb="FF000000"/>
      <name val="Arial"/>
      <family val="2"/>
    </font>
    <font>
      <b/>
      <sz val="11.5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sz val="10"/>
      <color rgb="FF000000"/>
      <name val="Times New Roman"/>
      <family val="1"/>
      <charset val="204"/>
    </font>
    <font>
      <b/>
      <sz val="8"/>
      <name val="Arial"/>
      <family val="2"/>
      <charset val="204"/>
    </font>
    <font>
      <b/>
      <sz val="8"/>
      <name val="Arial"/>
      <family val="2"/>
    </font>
    <font>
      <b/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7" xfId="0" applyFont="1" applyFill="1" applyBorder="1" applyAlignment="1">
      <alignment horizontal="left" vertical="top" wrapText="1" indent="3"/>
    </xf>
    <xf numFmtId="0" fontId="2" fillId="0" borderId="2" xfId="0" applyFont="1" applyFill="1" applyBorder="1" applyAlignment="1">
      <alignment horizontal="left" vertical="top" wrapText="1" indent="1"/>
    </xf>
    <xf numFmtId="0" fontId="0" fillId="0" borderId="8" xfId="0" applyFill="1" applyBorder="1" applyAlignment="1">
      <alignment horizontal="left" wrapText="1"/>
    </xf>
    <xf numFmtId="1" fontId="3" fillId="0" borderId="8" xfId="0" applyNumberFormat="1" applyFont="1" applyFill="1" applyBorder="1" applyAlignment="1">
      <alignment horizontal="left" vertical="top" indent="2" shrinkToFit="1"/>
    </xf>
    <xf numFmtId="0" fontId="2" fillId="0" borderId="8" xfId="0" applyFont="1" applyFill="1" applyBorder="1" applyAlignment="1">
      <alignment horizontal="left" vertical="top" wrapText="1" indent="1"/>
    </xf>
    <xf numFmtId="0" fontId="2" fillId="0" borderId="8" xfId="0" applyFont="1" applyFill="1" applyBorder="1" applyAlignment="1">
      <alignment horizontal="left" vertical="top" wrapText="1" indent="2"/>
    </xf>
    <xf numFmtId="1" fontId="3" fillId="0" borderId="3" xfId="0" applyNumberFormat="1" applyFont="1" applyFill="1" applyBorder="1" applyAlignment="1">
      <alignment horizontal="center" vertical="top" shrinkToFi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 indent="3"/>
    </xf>
    <xf numFmtId="0" fontId="7" fillId="0" borderId="8" xfId="0" applyFont="1" applyFill="1" applyBorder="1" applyAlignment="1">
      <alignment horizontal="right" vertical="top" wrapText="1"/>
    </xf>
    <xf numFmtId="0" fontId="7" fillId="0" borderId="8" xfId="0" applyFont="1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horizontal="center" vertical="top" wrapText="1"/>
    </xf>
    <xf numFmtId="3" fontId="3" fillId="0" borderId="3" xfId="0" applyNumberFormat="1" applyFont="1" applyFill="1" applyBorder="1" applyAlignment="1">
      <alignment horizontal="right" vertical="top" shrinkToFit="1"/>
    </xf>
    <xf numFmtId="3" fontId="5" fillId="0" borderId="2" xfId="0" applyNumberFormat="1" applyFont="1" applyFill="1" applyBorder="1" applyAlignment="1">
      <alignment horizontal="right" vertical="top" shrinkToFit="1"/>
    </xf>
    <xf numFmtId="3" fontId="5" fillId="0" borderId="7" xfId="0" applyNumberFormat="1" applyFont="1" applyFill="1" applyBorder="1" applyAlignment="1">
      <alignment horizontal="right" vertical="top" shrinkToFit="1"/>
    </xf>
    <xf numFmtId="3" fontId="5" fillId="0" borderId="8" xfId="0" applyNumberFormat="1" applyFont="1" applyFill="1" applyBorder="1" applyAlignment="1">
      <alignment horizontal="right" vertical="top" shrinkToFit="1"/>
    </xf>
    <xf numFmtId="3" fontId="4" fillId="0" borderId="8" xfId="0" applyNumberFormat="1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 wrapText="1"/>
    </xf>
    <xf numFmtId="3" fontId="4" fillId="0" borderId="2" xfId="0" applyNumberFormat="1" applyFont="1" applyFill="1" applyBorder="1" applyAlignment="1">
      <alignment horizontal="center" vertical="top" wrapText="1"/>
    </xf>
    <xf numFmtId="3" fontId="4" fillId="0" borderId="7" xfId="0" applyNumberFormat="1" applyFont="1" applyFill="1" applyBorder="1" applyAlignment="1">
      <alignment horizontal="center" vertical="top" wrapText="1"/>
    </xf>
    <xf numFmtId="3" fontId="12" fillId="0" borderId="3" xfId="0" applyNumberFormat="1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3" fontId="5" fillId="0" borderId="12" xfId="0" applyNumberFormat="1" applyFont="1" applyFill="1" applyBorder="1" applyAlignment="1">
      <alignment horizontal="right" vertical="top" shrinkToFit="1"/>
    </xf>
    <xf numFmtId="3" fontId="5" fillId="0" borderId="13" xfId="0" applyNumberFormat="1" applyFont="1" applyFill="1" applyBorder="1" applyAlignment="1">
      <alignment horizontal="right" vertical="top" shrinkToFit="1"/>
    </xf>
    <xf numFmtId="3" fontId="5" fillId="0" borderId="14" xfId="0" applyNumberFormat="1" applyFont="1" applyFill="1" applyBorder="1" applyAlignment="1">
      <alignment horizontal="right" vertical="top" shrinkToFit="1"/>
    </xf>
    <xf numFmtId="3" fontId="3" fillId="0" borderId="2" xfId="0" applyNumberFormat="1" applyFont="1" applyFill="1" applyBorder="1" applyAlignment="1">
      <alignment horizontal="right" vertical="top" shrinkToFit="1"/>
    </xf>
    <xf numFmtId="3" fontId="3" fillId="0" borderId="8" xfId="0" applyNumberFormat="1" applyFont="1" applyFill="1" applyBorder="1" applyAlignment="1">
      <alignment horizontal="right" vertical="top" shrinkToFit="1"/>
    </xf>
    <xf numFmtId="3" fontId="3" fillId="0" borderId="15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3" fontId="3" fillId="0" borderId="6" xfId="0" applyNumberFormat="1" applyFont="1" applyFill="1" applyBorder="1" applyAlignment="1">
      <alignment horizontal="right" vertical="top" shrinkToFit="1"/>
    </xf>
    <xf numFmtId="1" fontId="3" fillId="0" borderId="2" xfId="0" applyNumberFormat="1" applyFont="1" applyFill="1" applyBorder="1" applyAlignment="1">
      <alignment horizontal="center" vertical="top" shrinkToFit="1"/>
    </xf>
    <xf numFmtId="3" fontId="3" fillId="0" borderId="16" xfId="0" applyNumberFormat="1" applyFont="1" applyFill="1" applyBorder="1" applyAlignment="1">
      <alignment horizontal="right" vertical="top" shrinkToFit="1"/>
    </xf>
    <xf numFmtId="3" fontId="3" fillId="0" borderId="17" xfId="0" applyNumberFormat="1" applyFont="1" applyFill="1" applyBorder="1" applyAlignment="1">
      <alignment horizontal="right" vertical="top" shrinkToFit="1"/>
    </xf>
    <xf numFmtId="3" fontId="3" fillId="0" borderId="18" xfId="0" applyNumberFormat="1" applyFont="1" applyFill="1" applyBorder="1" applyAlignment="1">
      <alignment horizontal="right" vertical="top" shrinkToFit="1"/>
    </xf>
    <xf numFmtId="3" fontId="3" fillId="0" borderId="19" xfId="0" applyNumberFormat="1" applyFont="1" applyFill="1" applyBorder="1" applyAlignment="1">
      <alignment horizontal="right" vertical="top" shrinkToFit="1"/>
    </xf>
    <xf numFmtId="3" fontId="3" fillId="0" borderId="7" xfId="0" applyNumberFormat="1" applyFont="1" applyFill="1" applyBorder="1" applyAlignment="1">
      <alignment horizontal="right" vertical="top" shrinkToFit="1"/>
    </xf>
    <xf numFmtId="3" fontId="5" fillId="0" borderId="2" xfId="0" applyNumberFormat="1" applyFont="1" applyFill="1" applyBorder="1" applyAlignment="1">
      <alignment vertical="center" shrinkToFit="1"/>
    </xf>
    <xf numFmtId="3" fontId="5" fillId="0" borderId="7" xfId="0" applyNumberFormat="1" applyFont="1" applyFill="1" applyBorder="1" applyAlignment="1">
      <alignment vertical="center" shrinkToFit="1"/>
    </xf>
    <xf numFmtId="3" fontId="5" fillId="0" borderId="8" xfId="0" applyNumberFormat="1" applyFont="1" applyFill="1" applyBorder="1" applyAlignment="1">
      <alignment vertical="center" shrinkToFit="1"/>
    </xf>
    <xf numFmtId="3" fontId="0" fillId="0" borderId="0" xfId="0" applyNumberFormat="1" applyFill="1" applyBorder="1" applyAlignment="1">
      <alignment horizontal="left" vertical="top"/>
    </xf>
    <xf numFmtId="3" fontId="3" fillId="0" borderId="20" xfId="0" applyNumberFormat="1" applyFont="1" applyFill="1" applyBorder="1" applyAlignment="1">
      <alignment horizontal="right" vertical="top" shrinkToFit="1"/>
    </xf>
    <xf numFmtId="3" fontId="3" fillId="0" borderId="21" xfId="0" applyNumberFormat="1" applyFont="1" applyFill="1" applyBorder="1" applyAlignment="1">
      <alignment horizontal="right" vertical="top" shrinkToFit="1"/>
    </xf>
    <xf numFmtId="3" fontId="3" fillId="0" borderId="12" xfId="0" applyNumberFormat="1" applyFont="1" applyFill="1" applyBorder="1" applyAlignment="1">
      <alignment horizontal="right" vertical="top" shrinkToFit="1"/>
    </xf>
    <xf numFmtId="3" fontId="5" fillId="0" borderId="14" xfId="0" applyNumberFormat="1" applyFont="1" applyFill="1" applyBorder="1" applyAlignment="1">
      <alignment horizontal="right" vertical="center" wrapText="1" shrinkToFit="1"/>
    </xf>
    <xf numFmtId="3" fontId="5" fillId="0" borderId="9" xfId="0" applyNumberFormat="1" applyFont="1" applyFill="1" applyBorder="1" applyAlignment="1">
      <alignment horizontal="right" vertical="top" shrinkToFit="1"/>
    </xf>
    <xf numFmtId="3" fontId="5" fillId="0" borderId="10" xfId="0" applyNumberFormat="1" applyFont="1" applyFill="1" applyBorder="1" applyAlignment="1">
      <alignment horizontal="right" vertical="top" shrinkToFit="1"/>
    </xf>
    <xf numFmtId="3" fontId="5" fillId="0" borderId="11" xfId="0" applyNumberFormat="1" applyFont="1" applyFill="1" applyBorder="1" applyAlignment="1">
      <alignment horizontal="right" vertical="top" shrinkToFit="1"/>
    </xf>
    <xf numFmtId="3" fontId="5" fillId="0" borderId="17" xfId="0" applyNumberFormat="1" applyFont="1" applyFill="1" applyBorder="1" applyAlignment="1">
      <alignment horizontal="right" vertical="top" shrinkToFit="1"/>
    </xf>
    <xf numFmtId="3" fontId="5" fillId="0" borderId="18" xfId="0" applyNumberFormat="1" applyFont="1" applyFill="1" applyBorder="1" applyAlignment="1">
      <alignment horizontal="right" vertical="top" shrinkToFit="1"/>
    </xf>
    <xf numFmtId="3" fontId="5" fillId="0" borderId="19" xfId="0" applyNumberFormat="1" applyFont="1" applyFill="1" applyBorder="1" applyAlignment="1">
      <alignment horizontal="right" vertical="top" shrinkToFit="1"/>
    </xf>
    <xf numFmtId="3" fontId="5" fillId="0" borderId="16" xfId="0" applyNumberFormat="1" applyFont="1" applyFill="1" applyBorder="1" applyAlignment="1">
      <alignment horizontal="right" vertical="top" shrinkToFit="1"/>
    </xf>
    <xf numFmtId="3" fontId="5" fillId="2" borderId="2" xfId="0" applyNumberFormat="1" applyFont="1" applyFill="1" applyBorder="1" applyAlignment="1">
      <alignment horizontal="right" vertical="top" shrinkToFit="1"/>
    </xf>
    <xf numFmtId="3" fontId="5" fillId="2" borderId="9" xfId="0" applyNumberFormat="1" applyFont="1" applyFill="1" applyBorder="1" applyAlignment="1">
      <alignment horizontal="right" vertical="top" shrinkToFit="1"/>
    </xf>
    <xf numFmtId="3" fontId="3" fillId="2" borderId="17" xfId="0" applyNumberFormat="1" applyFont="1" applyFill="1" applyBorder="1" applyAlignment="1">
      <alignment horizontal="right" vertical="top" shrinkToFit="1"/>
    </xf>
    <xf numFmtId="3" fontId="5" fillId="2" borderId="12" xfId="0" applyNumberFormat="1" applyFont="1" applyFill="1" applyBorder="1" applyAlignment="1">
      <alignment horizontal="right" vertical="top" shrinkToFit="1"/>
    </xf>
    <xf numFmtId="3" fontId="5" fillId="2" borderId="7" xfId="0" applyNumberFormat="1" applyFont="1" applyFill="1" applyBorder="1" applyAlignment="1">
      <alignment horizontal="right" vertical="top" shrinkToFit="1"/>
    </xf>
    <xf numFmtId="3" fontId="5" fillId="2" borderId="10" xfId="0" applyNumberFormat="1" applyFont="1" applyFill="1" applyBorder="1" applyAlignment="1">
      <alignment horizontal="right" vertical="top" shrinkToFit="1"/>
    </xf>
    <xf numFmtId="3" fontId="3" fillId="2" borderId="18" xfId="0" applyNumberFormat="1" applyFont="1" applyFill="1" applyBorder="1" applyAlignment="1">
      <alignment horizontal="right" vertical="top" shrinkToFit="1"/>
    </xf>
    <xf numFmtId="3" fontId="5" fillId="2" borderId="13" xfId="0" applyNumberFormat="1" applyFont="1" applyFill="1" applyBorder="1" applyAlignment="1">
      <alignment horizontal="right" vertical="top" shrinkToFit="1"/>
    </xf>
    <xf numFmtId="3" fontId="5" fillId="2" borderId="8" xfId="0" applyNumberFormat="1" applyFont="1" applyFill="1" applyBorder="1" applyAlignment="1">
      <alignment horizontal="right" vertical="top" shrinkToFit="1"/>
    </xf>
    <xf numFmtId="3" fontId="5" fillId="2" borderId="11" xfId="0" applyNumberFormat="1" applyFont="1" applyFill="1" applyBorder="1" applyAlignment="1">
      <alignment horizontal="right" vertical="top" shrinkToFit="1"/>
    </xf>
    <xf numFmtId="3" fontId="3" fillId="2" borderId="19" xfId="0" applyNumberFormat="1" applyFont="1" applyFill="1" applyBorder="1" applyAlignment="1">
      <alignment horizontal="right" vertical="top" shrinkToFit="1"/>
    </xf>
    <xf numFmtId="3" fontId="5" fillId="2" borderId="14" xfId="0" applyNumberFormat="1" applyFont="1" applyFill="1" applyBorder="1" applyAlignment="1">
      <alignment horizontal="right" vertical="top" shrinkToFit="1"/>
    </xf>
    <xf numFmtId="3" fontId="3" fillId="2" borderId="3" xfId="0" applyNumberFormat="1" applyFont="1" applyFill="1" applyBorder="1" applyAlignment="1">
      <alignment horizontal="right" vertical="top" shrinkToFit="1"/>
    </xf>
    <xf numFmtId="3" fontId="3" fillId="2" borderId="7" xfId="0" applyNumberFormat="1" applyFont="1" applyFill="1" applyBorder="1" applyAlignment="1">
      <alignment horizontal="right" vertical="top" shrinkToFit="1"/>
    </xf>
    <xf numFmtId="3" fontId="2" fillId="2" borderId="8" xfId="0" applyNumberFormat="1" applyFont="1" applyFill="1" applyBorder="1" applyAlignment="1">
      <alignment horizontal="center" vertical="top" wrapText="1"/>
    </xf>
    <xf numFmtId="3" fontId="5" fillId="2" borderId="17" xfId="0" applyNumberFormat="1" applyFont="1" applyFill="1" applyBorder="1" applyAlignment="1">
      <alignment horizontal="right" vertical="top" shrinkToFit="1"/>
    </xf>
    <xf numFmtId="3" fontId="4" fillId="2" borderId="2" xfId="0" applyNumberFormat="1" applyFont="1" applyFill="1" applyBorder="1" applyAlignment="1">
      <alignment horizontal="center" vertical="top" wrapText="1"/>
    </xf>
    <xf numFmtId="3" fontId="5" fillId="2" borderId="18" xfId="0" applyNumberFormat="1" applyFont="1" applyFill="1" applyBorder="1" applyAlignment="1">
      <alignment horizontal="right" vertical="top" shrinkToFit="1"/>
    </xf>
    <xf numFmtId="3" fontId="4" fillId="2" borderId="7" xfId="0" applyNumberFormat="1" applyFont="1" applyFill="1" applyBorder="1" applyAlignment="1">
      <alignment horizontal="center" vertical="top" wrapText="1"/>
    </xf>
    <xf numFmtId="3" fontId="5" fillId="2" borderId="19" xfId="0" applyNumberFormat="1" applyFont="1" applyFill="1" applyBorder="1" applyAlignment="1">
      <alignment horizontal="right" vertical="top" shrinkToFit="1"/>
    </xf>
    <xf numFmtId="3" fontId="4" fillId="2" borderId="8" xfId="0" applyNumberFormat="1" applyFont="1" applyFill="1" applyBorder="1" applyAlignment="1">
      <alignment horizontal="center" vertical="top" wrapText="1"/>
    </xf>
    <xf numFmtId="3" fontId="2" fillId="2" borderId="2" xfId="0" applyNumberFormat="1" applyFont="1" applyFill="1" applyBorder="1" applyAlignment="1">
      <alignment horizontal="center" vertical="top" wrapText="1"/>
    </xf>
    <xf numFmtId="3" fontId="2" fillId="2" borderId="17" xfId="0" applyNumberFormat="1" applyFont="1" applyFill="1" applyBorder="1" applyAlignment="1">
      <alignment horizontal="center" vertical="top" wrapText="1"/>
    </xf>
    <xf numFmtId="3" fontId="2" fillId="2" borderId="18" xfId="0" applyNumberFormat="1" applyFont="1" applyFill="1" applyBorder="1" applyAlignment="1">
      <alignment horizontal="center" vertical="top" wrapText="1"/>
    </xf>
    <xf numFmtId="3" fontId="4" fillId="2" borderId="19" xfId="0" applyNumberFormat="1" applyFont="1" applyFill="1" applyBorder="1" applyAlignment="1">
      <alignment horizontal="center" vertical="top" wrapText="1"/>
    </xf>
    <xf numFmtId="3" fontId="2" fillId="2" borderId="3" xfId="0" applyNumberFormat="1" applyFont="1" applyFill="1" applyBorder="1" applyAlignment="1">
      <alignment horizontal="center" vertical="top" wrapText="1"/>
    </xf>
    <xf numFmtId="3" fontId="3" fillId="0" borderId="22" xfId="0" applyNumberFormat="1" applyFont="1" applyFill="1" applyBorder="1" applyAlignment="1">
      <alignment horizontal="right" vertical="top" shrinkToFit="1"/>
    </xf>
    <xf numFmtId="3" fontId="3" fillId="0" borderId="23" xfId="0" applyNumberFormat="1" applyFont="1" applyFill="1" applyBorder="1" applyAlignment="1">
      <alignment horizontal="right" vertical="top" shrinkToFit="1"/>
    </xf>
    <xf numFmtId="3" fontId="3" fillId="0" borderId="24" xfId="0" applyNumberFormat="1" applyFont="1" applyFill="1" applyBorder="1" applyAlignment="1">
      <alignment horizontal="right" vertical="top" shrinkToFit="1"/>
    </xf>
    <xf numFmtId="3" fontId="3" fillId="2" borderId="8" xfId="0" applyNumberFormat="1" applyFont="1" applyFill="1" applyBorder="1" applyAlignment="1">
      <alignment horizontal="right" vertical="top" shrinkToFit="1"/>
    </xf>
    <xf numFmtId="3" fontId="9" fillId="0" borderId="0" xfId="0" applyNumberFormat="1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7"/>
    </xf>
    <xf numFmtId="0" fontId="2" fillId="0" borderId="5" xfId="0" applyFont="1" applyFill="1" applyBorder="1" applyAlignment="1">
      <alignment horizontal="left" vertical="top" wrapText="1" indent="7"/>
    </xf>
    <xf numFmtId="0" fontId="2" fillId="0" borderId="6" xfId="0" applyFont="1" applyFill="1" applyBorder="1" applyAlignment="1">
      <alignment horizontal="left" vertical="top" wrapText="1" indent="7"/>
    </xf>
    <xf numFmtId="0" fontId="2" fillId="0" borderId="4" xfId="0" applyFont="1" applyFill="1" applyBorder="1" applyAlignment="1">
      <alignment horizontal="left" vertical="top" wrapText="1" indent="12"/>
    </xf>
    <xf numFmtId="0" fontId="2" fillId="0" borderId="5" xfId="0" applyFont="1" applyFill="1" applyBorder="1" applyAlignment="1">
      <alignment horizontal="left" vertical="top" wrapText="1" indent="12"/>
    </xf>
    <xf numFmtId="0" fontId="2" fillId="0" borderId="6" xfId="0" applyFont="1" applyFill="1" applyBorder="1" applyAlignment="1">
      <alignment horizontal="left" vertical="top" wrapText="1" indent="12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13" fillId="0" borderId="0" xfId="0" applyFont="1" applyFill="1" applyBorder="1" applyAlignment="1">
      <alignment horizontal="right" vertical="top" wrapText="1" indent="15"/>
    </xf>
    <xf numFmtId="0" fontId="6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tabSelected="1" workbookViewId="0">
      <selection activeCell="J24" sqref="J24"/>
    </sheetView>
  </sheetViews>
  <sheetFormatPr defaultRowHeight="12.75" x14ac:dyDescent="0.2"/>
  <cols>
    <col min="1" max="1" width="22.6640625" customWidth="1"/>
    <col min="2" max="2" width="12" customWidth="1"/>
    <col min="3" max="3" width="11.1640625" customWidth="1"/>
    <col min="4" max="4" width="11.5" customWidth="1"/>
    <col min="5" max="5" width="6.1640625" customWidth="1"/>
    <col min="6" max="6" width="12" customWidth="1"/>
    <col min="7" max="7" width="12.1640625" customWidth="1"/>
    <col min="8" max="8" width="10.1640625" customWidth="1"/>
    <col min="9" max="9" width="8" customWidth="1"/>
    <col min="10" max="10" width="11.5" customWidth="1"/>
    <col min="11" max="11" width="11.83203125" customWidth="1"/>
    <col min="12" max="12" width="9.1640625" customWidth="1"/>
    <col min="13" max="13" width="7.5" customWidth="1"/>
    <col min="14" max="14" width="13.5" customWidth="1"/>
    <col min="15" max="15" width="11.5" customWidth="1"/>
    <col min="16" max="16" width="12" customWidth="1"/>
    <col min="17" max="17" width="7.5" customWidth="1"/>
  </cols>
  <sheetData>
    <row r="1" spans="1:19" ht="14.25" customHeight="1" x14ac:dyDescent="0.2">
      <c r="A1" s="99" t="s">
        <v>41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9" ht="21.4" customHeight="1" x14ac:dyDescent="0.2">
      <c r="A2" s="100" t="s">
        <v>33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</row>
    <row r="3" spans="1:19" ht="15" customHeight="1" x14ac:dyDescent="0.2">
      <c r="A3" s="102" t="s">
        <v>42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4" spans="1:19" ht="9.75" customHeight="1" x14ac:dyDescent="0.2">
      <c r="A4" s="1" t="s">
        <v>0</v>
      </c>
      <c r="B4" s="87" t="s">
        <v>1</v>
      </c>
      <c r="C4" s="88"/>
      <c r="D4" s="88"/>
      <c r="E4" s="89"/>
      <c r="F4" s="90" t="s">
        <v>2</v>
      </c>
      <c r="G4" s="91"/>
      <c r="H4" s="91"/>
      <c r="I4" s="92"/>
      <c r="J4" s="93" t="s">
        <v>3</v>
      </c>
      <c r="K4" s="94"/>
      <c r="L4" s="94"/>
      <c r="M4" s="95"/>
      <c r="N4" s="96" t="s">
        <v>4</v>
      </c>
      <c r="O4" s="97"/>
      <c r="P4" s="97"/>
      <c r="Q4" s="98"/>
    </row>
    <row r="5" spans="1:19" ht="9.75" customHeight="1" x14ac:dyDescent="0.2">
      <c r="A5" s="2" t="s">
        <v>5</v>
      </c>
      <c r="B5" s="3" t="s">
        <v>6</v>
      </c>
      <c r="C5" s="1" t="s">
        <v>7</v>
      </c>
      <c r="D5" s="3" t="s">
        <v>8</v>
      </c>
      <c r="E5" s="3" t="s">
        <v>9</v>
      </c>
      <c r="F5" s="3" t="s">
        <v>6</v>
      </c>
      <c r="G5" s="1" t="s">
        <v>7</v>
      </c>
      <c r="H5" s="3" t="s">
        <v>8</v>
      </c>
      <c r="I5" s="3" t="s">
        <v>10</v>
      </c>
      <c r="J5" s="3" t="s">
        <v>6</v>
      </c>
      <c r="K5" s="1" t="s">
        <v>7</v>
      </c>
      <c r="L5" s="3" t="s">
        <v>8</v>
      </c>
      <c r="M5" s="3" t="s">
        <v>11</v>
      </c>
      <c r="N5" s="3" t="s">
        <v>6</v>
      </c>
      <c r="O5" s="1" t="s">
        <v>7</v>
      </c>
      <c r="P5" s="3" t="s">
        <v>8</v>
      </c>
      <c r="Q5" s="3" t="s">
        <v>12</v>
      </c>
    </row>
    <row r="6" spans="1:19" ht="9.75" customHeight="1" x14ac:dyDescent="0.2">
      <c r="A6" s="4"/>
      <c r="B6" s="11" t="s">
        <v>39</v>
      </c>
      <c r="C6" s="5">
        <v>2020</v>
      </c>
      <c r="D6" s="12" t="s">
        <v>40</v>
      </c>
      <c r="E6" s="7" t="s">
        <v>13</v>
      </c>
      <c r="F6" s="11" t="s">
        <v>39</v>
      </c>
      <c r="G6" s="5">
        <v>2020</v>
      </c>
      <c r="H6" s="12" t="s">
        <v>40</v>
      </c>
      <c r="I6" s="6" t="s">
        <v>14</v>
      </c>
      <c r="J6" s="11" t="s">
        <v>39</v>
      </c>
      <c r="K6" s="5">
        <v>2020</v>
      </c>
      <c r="L6" s="12" t="s">
        <v>40</v>
      </c>
      <c r="M6" s="6" t="s">
        <v>15</v>
      </c>
      <c r="N6" s="11" t="s">
        <v>39</v>
      </c>
      <c r="O6" s="5">
        <v>2020</v>
      </c>
      <c r="P6" s="12" t="s">
        <v>40</v>
      </c>
      <c r="Q6" s="6" t="s">
        <v>16</v>
      </c>
    </row>
    <row r="7" spans="1:19" ht="9.75" customHeight="1" x14ac:dyDescent="0.2">
      <c r="A7" s="8">
        <v>1</v>
      </c>
      <c r="B7" s="35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</row>
    <row r="8" spans="1:19" ht="9.75" customHeight="1" x14ac:dyDescent="0.2">
      <c r="A8" s="33" t="s">
        <v>17</v>
      </c>
      <c r="B8" s="36">
        <f>+F8+J8+N8</f>
        <v>6093607</v>
      </c>
      <c r="C8" s="47">
        <f>+G8+K8+O8</f>
        <v>6880481</v>
      </c>
      <c r="D8" s="15">
        <f>+H8+L8+P8</f>
        <v>6427828</v>
      </c>
      <c r="E8" s="30">
        <f>+D8/B8*100</f>
        <v>105.48478101722019</v>
      </c>
      <c r="F8" s="15">
        <f>+F9</f>
        <v>2588352</v>
      </c>
      <c r="G8" s="15">
        <f>+G9</f>
        <v>2780262</v>
      </c>
      <c r="H8" s="15">
        <f t="shared" ref="H8" si="0">+H9</f>
        <v>3318600</v>
      </c>
      <c r="I8" s="30">
        <f>+H8/F8*100</f>
        <v>128.21285512944144</v>
      </c>
      <c r="J8" s="15">
        <v>600000</v>
      </c>
      <c r="K8" s="15">
        <f>+K9</f>
        <v>426864</v>
      </c>
      <c r="L8" s="15">
        <f>+L9</f>
        <v>649241</v>
      </c>
      <c r="M8" s="30">
        <f>+L8/J8*100</f>
        <v>108.20683333333334</v>
      </c>
      <c r="N8" s="15">
        <v>2905255</v>
      </c>
      <c r="O8" s="15">
        <v>3673355</v>
      </c>
      <c r="P8" s="15">
        <v>2459987</v>
      </c>
      <c r="Q8" s="30">
        <f>+P8/N8*100</f>
        <v>84.673703341014814</v>
      </c>
    </row>
    <row r="9" spans="1:19" ht="11.25" customHeight="1" x14ac:dyDescent="0.2">
      <c r="A9" s="24" t="s">
        <v>18</v>
      </c>
      <c r="B9" s="45">
        <f t="shared" ref="B9:B18" si="1">+F9+J9+N9</f>
        <v>4342851</v>
      </c>
      <c r="C9" s="37">
        <f t="shared" ref="C9:C18" si="2">+G9+K9+O9</f>
        <v>3834611</v>
      </c>
      <c r="D9" s="15">
        <f t="shared" ref="D9:D42" si="3">+H9+L9+P9</f>
        <v>4514082</v>
      </c>
      <c r="E9" s="37">
        <f t="shared" ref="E9:E48" si="4">+D9/B9*100</f>
        <v>103.94282465596909</v>
      </c>
      <c r="F9" s="27">
        <v>2588352</v>
      </c>
      <c r="G9" s="56">
        <v>2780262</v>
      </c>
      <c r="H9" s="57">
        <v>3318600</v>
      </c>
      <c r="I9" s="58">
        <f t="shared" ref="I9" si="5">+H9/F9*100</f>
        <v>128.21285512944144</v>
      </c>
      <c r="J9" s="59">
        <v>600000</v>
      </c>
      <c r="K9" s="56">
        <v>426864</v>
      </c>
      <c r="L9" s="57">
        <v>649241</v>
      </c>
      <c r="M9" s="58">
        <f t="shared" ref="M9" si="6">+L9/J9*100</f>
        <v>108.20683333333334</v>
      </c>
      <c r="N9" s="59">
        <f>+N8-N10-N11</f>
        <v>1154499</v>
      </c>
      <c r="O9" s="56">
        <f>+O8-O10-O11</f>
        <v>627485</v>
      </c>
      <c r="P9" s="57">
        <f>+P8-P10-P11</f>
        <v>546241</v>
      </c>
      <c r="Q9" s="37">
        <f t="shared" ref="Q9:Q48" si="7">+P9/N9*100</f>
        <v>47.3141163396417</v>
      </c>
    </row>
    <row r="10" spans="1:19" ht="11.25" customHeight="1" x14ac:dyDescent="0.2">
      <c r="A10" s="25" t="s">
        <v>19</v>
      </c>
      <c r="B10" s="32">
        <f t="shared" si="1"/>
        <v>1674256</v>
      </c>
      <c r="C10" s="38">
        <f t="shared" si="2"/>
        <v>3016076</v>
      </c>
      <c r="D10" s="15">
        <f t="shared" si="3"/>
        <v>1855246</v>
      </c>
      <c r="E10" s="38">
        <f t="shared" si="4"/>
        <v>110.81017478808496</v>
      </c>
      <c r="F10" s="28"/>
      <c r="G10" s="60"/>
      <c r="H10" s="61"/>
      <c r="I10" s="62"/>
      <c r="J10" s="63"/>
      <c r="K10" s="60"/>
      <c r="L10" s="61"/>
      <c r="M10" s="62"/>
      <c r="N10" s="63">
        <v>1674256</v>
      </c>
      <c r="O10" s="60">
        <f>2207837+667058+93830+47351</f>
        <v>3016076</v>
      </c>
      <c r="P10" s="61">
        <f>1300200+495046+60000</f>
        <v>1855246</v>
      </c>
      <c r="Q10" s="38">
        <f t="shared" si="7"/>
        <v>110.81017478808496</v>
      </c>
    </row>
    <row r="11" spans="1:19" ht="11.25" customHeight="1" x14ac:dyDescent="0.2">
      <c r="A11" s="26" t="s">
        <v>20</v>
      </c>
      <c r="B11" s="46">
        <f t="shared" si="1"/>
        <v>76500</v>
      </c>
      <c r="C11" s="39">
        <f t="shared" si="2"/>
        <v>29794</v>
      </c>
      <c r="D11" s="15">
        <f t="shared" si="3"/>
        <v>58500</v>
      </c>
      <c r="E11" s="39">
        <f t="shared" si="4"/>
        <v>76.470588235294116</v>
      </c>
      <c r="F11" s="29"/>
      <c r="G11" s="64"/>
      <c r="H11" s="65"/>
      <c r="I11" s="66"/>
      <c r="J11" s="67"/>
      <c r="K11" s="64"/>
      <c r="L11" s="65"/>
      <c r="M11" s="66"/>
      <c r="N11" s="67">
        <f>40000+36500</f>
        <v>76500</v>
      </c>
      <c r="O11" s="64">
        <f>1195+28599</f>
        <v>29794</v>
      </c>
      <c r="P11" s="65">
        <f>43500+15000</f>
        <v>58500</v>
      </c>
      <c r="Q11" s="39">
        <f t="shared" si="7"/>
        <v>76.470588235294116</v>
      </c>
      <c r="R11" s="44"/>
    </row>
    <row r="12" spans="1:19" ht="11.25" customHeight="1" x14ac:dyDescent="0.2">
      <c r="A12" s="33" t="s">
        <v>21</v>
      </c>
      <c r="B12" s="37">
        <f t="shared" si="1"/>
        <v>2702814</v>
      </c>
      <c r="C12" s="38">
        <f t="shared" si="2"/>
        <v>1594598</v>
      </c>
      <c r="D12" s="15">
        <f>+H12+L12+P12</f>
        <v>1900739</v>
      </c>
      <c r="E12" s="40">
        <f t="shared" si="4"/>
        <v>70.324447039270922</v>
      </c>
      <c r="F12" s="15">
        <v>2662306</v>
      </c>
      <c r="G12" s="68">
        <v>1594598</v>
      </c>
      <c r="H12" s="68">
        <f>1847437+1</f>
        <v>1847438</v>
      </c>
      <c r="I12" s="69">
        <f>+H12/F12*100</f>
        <v>69.392398920334472</v>
      </c>
      <c r="J12" s="68"/>
      <c r="K12" s="68"/>
      <c r="L12" s="68"/>
      <c r="M12" s="70"/>
      <c r="N12" s="68">
        <v>40508</v>
      </c>
      <c r="O12" s="68"/>
      <c r="P12" s="68">
        <v>53301</v>
      </c>
      <c r="Q12" s="40">
        <f t="shared" si="7"/>
        <v>131.58141601658932</v>
      </c>
    </row>
    <row r="13" spans="1:19" ht="11.25" customHeight="1" x14ac:dyDescent="0.2">
      <c r="A13" s="24" t="s">
        <v>18</v>
      </c>
      <c r="B13" s="45">
        <f t="shared" si="1"/>
        <v>231764</v>
      </c>
      <c r="C13" s="37">
        <f t="shared" si="2"/>
        <v>162216</v>
      </c>
      <c r="D13" s="15">
        <f t="shared" si="3"/>
        <v>279281</v>
      </c>
      <c r="E13" s="37">
        <f t="shared" si="4"/>
        <v>120.50232132686698</v>
      </c>
      <c r="F13" s="27">
        <f>+F12-F14-F15</f>
        <v>231764</v>
      </c>
      <c r="G13" s="56">
        <f>+G12-G14-G15</f>
        <v>162216</v>
      </c>
      <c r="H13" s="57">
        <f>+H12-H14-H15</f>
        <v>279281</v>
      </c>
      <c r="I13" s="71">
        <f>+H13/F13*100</f>
        <v>120.50232132686698</v>
      </c>
      <c r="J13" s="59"/>
      <c r="K13" s="56"/>
      <c r="L13" s="56"/>
      <c r="M13" s="72"/>
      <c r="N13" s="56"/>
      <c r="O13" s="56"/>
      <c r="P13" s="57"/>
      <c r="Q13" s="37"/>
    </row>
    <row r="14" spans="1:19" ht="11.25" customHeight="1" x14ac:dyDescent="0.2">
      <c r="A14" s="25" t="s">
        <v>19</v>
      </c>
      <c r="B14" s="32">
        <f t="shared" si="1"/>
        <v>753935</v>
      </c>
      <c r="C14" s="38">
        <f t="shared" si="2"/>
        <v>71253</v>
      </c>
      <c r="D14" s="15">
        <f t="shared" si="3"/>
        <v>490986</v>
      </c>
      <c r="E14" s="38">
        <f t="shared" si="4"/>
        <v>65.123120693428476</v>
      </c>
      <c r="F14" s="28">
        <v>713427</v>
      </c>
      <c r="G14" s="60">
        <v>71253</v>
      </c>
      <c r="H14" s="61">
        <f>437685</f>
        <v>437685</v>
      </c>
      <c r="I14" s="73">
        <f t="shared" ref="I14:I15" si="8">+H14/F14*100</f>
        <v>61.349654554705666</v>
      </c>
      <c r="J14" s="63"/>
      <c r="K14" s="60"/>
      <c r="L14" s="60"/>
      <c r="M14" s="74"/>
      <c r="N14" s="60">
        <v>40508</v>
      </c>
      <c r="O14" s="60"/>
      <c r="P14" s="61">
        <v>53301</v>
      </c>
      <c r="Q14" s="38">
        <f t="shared" si="7"/>
        <v>131.58141601658932</v>
      </c>
    </row>
    <row r="15" spans="1:19" ht="11.25" customHeight="1" x14ac:dyDescent="0.2">
      <c r="A15" s="26" t="s">
        <v>20</v>
      </c>
      <c r="B15" s="46">
        <f t="shared" si="1"/>
        <v>1717115</v>
      </c>
      <c r="C15" s="39">
        <f t="shared" si="2"/>
        <v>1361129</v>
      </c>
      <c r="D15" s="15">
        <f t="shared" si="3"/>
        <v>1130472</v>
      </c>
      <c r="E15" s="39">
        <f t="shared" si="4"/>
        <v>65.835543921053628</v>
      </c>
      <c r="F15" s="48">
        <v>1717115</v>
      </c>
      <c r="G15" s="64">
        <v>1361129</v>
      </c>
      <c r="H15" s="65">
        <v>1130472</v>
      </c>
      <c r="I15" s="75">
        <f t="shared" si="8"/>
        <v>65.835543921053628</v>
      </c>
      <c r="J15" s="67"/>
      <c r="K15" s="64"/>
      <c r="L15" s="64"/>
      <c r="M15" s="76"/>
      <c r="N15" s="64"/>
      <c r="O15" s="64"/>
      <c r="P15" s="65"/>
      <c r="Q15" s="39"/>
    </row>
    <row r="16" spans="1:19" ht="11.25" customHeight="1" x14ac:dyDescent="0.2">
      <c r="A16" s="9" t="s">
        <v>22</v>
      </c>
      <c r="B16" s="40">
        <f t="shared" si="1"/>
        <v>34670527</v>
      </c>
      <c r="C16" s="38">
        <f t="shared" si="2"/>
        <v>36735699</v>
      </c>
      <c r="D16" s="15">
        <f>+H16+L16+P16</f>
        <v>39960905</v>
      </c>
      <c r="E16" s="40">
        <f t="shared" si="4"/>
        <v>115.25900659081417</v>
      </c>
      <c r="F16" s="15">
        <v>31935861</v>
      </c>
      <c r="G16" s="68">
        <v>33703919</v>
      </c>
      <c r="H16" s="68">
        <f>36119693+60122+1104633</f>
        <v>37284448</v>
      </c>
      <c r="I16" s="60">
        <f>+H16/F16*100</f>
        <v>116.74790292956247</v>
      </c>
      <c r="J16" s="68">
        <v>649553</v>
      </c>
      <c r="K16" s="68">
        <v>635775</v>
      </c>
      <c r="L16" s="68">
        <v>718152</v>
      </c>
      <c r="M16" s="77">
        <f>+L16/J16*100</f>
        <v>110.5609549952044</v>
      </c>
      <c r="N16" s="68">
        <v>2085113</v>
      </c>
      <c r="O16" s="68">
        <v>2396005</v>
      </c>
      <c r="P16" s="68">
        <v>1958305</v>
      </c>
      <c r="Q16" s="40">
        <f t="shared" si="7"/>
        <v>93.91841113647078</v>
      </c>
      <c r="S16" s="44"/>
    </row>
    <row r="17" spans="1:17" ht="11.25" customHeight="1" x14ac:dyDescent="0.2">
      <c r="A17" s="24" t="s">
        <v>18</v>
      </c>
      <c r="B17" s="45">
        <f t="shared" si="1"/>
        <v>28577949</v>
      </c>
      <c r="C17" s="37">
        <f t="shared" si="2"/>
        <v>29412225</v>
      </c>
      <c r="D17" s="15">
        <f t="shared" si="3"/>
        <v>32961360</v>
      </c>
      <c r="E17" s="37">
        <f t="shared" si="4"/>
        <v>115.33843803836308</v>
      </c>
      <c r="F17" s="27">
        <f>+F16-F18-F19</f>
        <v>28257477</v>
      </c>
      <c r="G17" s="56">
        <f>+G16-G18-G19</f>
        <v>29104889</v>
      </c>
      <c r="H17" s="57">
        <f>+H16-H18</f>
        <v>32582492</v>
      </c>
      <c r="I17" s="71">
        <f t="shared" ref="I17:I48" si="9">+H17/F17*100</f>
        <v>115.30573660203281</v>
      </c>
      <c r="J17" s="59">
        <f>+J16-J18</f>
        <v>320472</v>
      </c>
      <c r="K17" s="56">
        <f>+K16-K18</f>
        <v>307336</v>
      </c>
      <c r="L17" s="57">
        <f>+L16-L18</f>
        <v>378868</v>
      </c>
      <c r="M17" s="78">
        <f t="shared" ref="M17:M18" si="10">+L17/J17*100</f>
        <v>118.22187273771188</v>
      </c>
      <c r="N17" s="59">
        <v>0</v>
      </c>
      <c r="O17" s="56"/>
      <c r="P17" s="57"/>
      <c r="Q17" s="37"/>
    </row>
    <row r="18" spans="1:17" ht="11.25" customHeight="1" x14ac:dyDescent="0.2">
      <c r="A18" s="25" t="s">
        <v>19</v>
      </c>
      <c r="B18" s="32">
        <f t="shared" si="1"/>
        <v>5962624</v>
      </c>
      <c r="C18" s="38">
        <f t="shared" si="2"/>
        <v>6485250</v>
      </c>
      <c r="D18" s="15">
        <f t="shared" si="3"/>
        <v>6899485</v>
      </c>
      <c r="E18" s="38">
        <f t="shared" si="4"/>
        <v>115.71222669750767</v>
      </c>
      <c r="F18" s="28">
        <f>3429607+95+148682</f>
        <v>3578384</v>
      </c>
      <c r="G18" s="60">
        <f>3567344+655+194809</f>
        <v>3762808</v>
      </c>
      <c r="H18" s="61">
        <f>4533940+168016</f>
        <v>4701956</v>
      </c>
      <c r="I18" s="73">
        <f t="shared" si="9"/>
        <v>131.39886608033123</v>
      </c>
      <c r="J18" s="63">
        <f>113385+215696</f>
        <v>329081</v>
      </c>
      <c r="K18" s="56">
        <f>116473+211966</f>
        <v>328439</v>
      </c>
      <c r="L18" s="61">
        <f>125360+213924</f>
        <v>339284</v>
      </c>
      <c r="M18" s="79">
        <f t="shared" si="10"/>
        <v>103.10045247218771</v>
      </c>
      <c r="N18" s="63">
        <f>+N16-N19</f>
        <v>2055159</v>
      </c>
      <c r="O18" s="60">
        <f>+O16-O17-O19</f>
        <v>2394003</v>
      </c>
      <c r="P18" s="61">
        <f>+P16-P19</f>
        <v>1858245</v>
      </c>
      <c r="Q18" s="38">
        <f t="shared" si="7"/>
        <v>90.418551557324761</v>
      </c>
    </row>
    <row r="19" spans="1:17" ht="11.25" customHeight="1" x14ac:dyDescent="0.2">
      <c r="A19" s="25" t="s">
        <v>20</v>
      </c>
      <c r="B19" s="46">
        <f t="shared" ref="B19:B48" si="11">+F19+J19+N19</f>
        <v>129954</v>
      </c>
      <c r="C19" s="39">
        <f t="shared" ref="C19:C42" si="12">+G19+K19+O19</f>
        <v>838224</v>
      </c>
      <c r="D19" s="15">
        <f t="shared" si="3"/>
        <v>100060</v>
      </c>
      <c r="E19" s="39">
        <f t="shared" si="4"/>
        <v>76.99647567600843</v>
      </c>
      <c r="F19" s="28">
        <v>100000</v>
      </c>
      <c r="G19" s="60">
        <f>476918+359304</f>
        <v>836222</v>
      </c>
      <c r="H19" s="61"/>
      <c r="I19" s="75">
        <f t="shared" si="9"/>
        <v>0</v>
      </c>
      <c r="J19" s="63"/>
      <c r="K19" s="60"/>
      <c r="L19" s="61"/>
      <c r="M19" s="80"/>
      <c r="N19" s="63">
        <v>29954</v>
      </c>
      <c r="O19" s="60">
        <v>2002</v>
      </c>
      <c r="P19" s="61">
        <f>97026+3034</f>
        <v>100060</v>
      </c>
      <c r="Q19" s="39">
        <f t="shared" si="7"/>
        <v>334.04553648928356</v>
      </c>
    </row>
    <row r="20" spans="1:17" ht="11.25" customHeight="1" x14ac:dyDescent="0.2">
      <c r="A20" s="9" t="s">
        <v>24</v>
      </c>
      <c r="B20" s="40">
        <f t="shared" ref="B20:B26" si="13">+F20+J20+N20</f>
        <v>2713835</v>
      </c>
      <c r="C20" s="38">
        <f t="shared" si="12"/>
        <v>2436024</v>
      </c>
      <c r="D20" s="30">
        <f t="shared" si="3"/>
        <v>3133977</v>
      </c>
      <c r="E20" s="40">
        <f t="shared" si="4"/>
        <v>115.48148653105292</v>
      </c>
      <c r="F20" s="15">
        <v>2243835</v>
      </c>
      <c r="G20" s="68">
        <v>2047735</v>
      </c>
      <c r="H20" s="68">
        <v>2723977</v>
      </c>
      <c r="I20" s="60">
        <f t="shared" si="9"/>
        <v>121.39827571991701</v>
      </c>
      <c r="J20" s="68"/>
      <c r="K20" s="68"/>
      <c r="L20" s="68"/>
      <c r="M20" s="70"/>
      <c r="N20" s="68">
        <v>470000</v>
      </c>
      <c r="O20" s="68">
        <v>388289</v>
      </c>
      <c r="P20" s="68">
        <v>410000</v>
      </c>
      <c r="Q20" s="40">
        <f t="shared" si="7"/>
        <v>87.2340425531915</v>
      </c>
    </row>
    <row r="21" spans="1:17" ht="11.25" customHeight="1" x14ac:dyDescent="0.2">
      <c r="A21" s="24" t="s">
        <v>18</v>
      </c>
      <c r="B21" s="45">
        <f t="shared" si="13"/>
        <v>2102838</v>
      </c>
      <c r="C21" s="45">
        <f t="shared" si="12"/>
        <v>1584989</v>
      </c>
      <c r="D21" s="37">
        <f t="shared" si="3"/>
        <v>2440832</v>
      </c>
      <c r="E21" s="82">
        <f t="shared" si="4"/>
        <v>116.07323055794122</v>
      </c>
      <c r="F21" s="27">
        <f>+F20-F22-F23</f>
        <v>2102838</v>
      </c>
      <c r="G21" s="56">
        <f>+G20-G22-G23</f>
        <v>1584989</v>
      </c>
      <c r="H21" s="57">
        <f>+H20-H22</f>
        <v>2440832</v>
      </c>
      <c r="I21" s="71">
        <f t="shared" si="9"/>
        <v>116.07323055794122</v>
      </c>
      <c r="J21" s="59"/>
      <c r="K21" s="56"/>
      <c r="L21" s="56"/>
      <c r="M21" s="72"/>
      <c r="N21" s="56"/>
      <c r="O21" s="56"/>
      <c r="P21" s="57"/>
      <c r="Q21" s="37"/>
    </row>
    <row r="22" spans="1:17" ht="11.25" customHeight="1" x14ac:dyDescent="0.2">
      <c r="A22" s="25" t="s">
        <v>19</v>
      </c>
      <c r="B22" s="32">
        <f t="shared" si="13"/>
        <v>590997</v>
      </c>
      <c r="C22" s="32">
        <f t="shared" si="12"/>
        <v>821035</v>
      </c>
      <c r="D22" s="38">
        <f>+H22+L22+P22</f>
        <v>693145</v>
      </c>
      <c r="E22" s="83">
        <f t="shared" si="4"/>
        <v>117.28401328602345</v>
      </c>
      <c r="F22" s="28">
        <v>120997</v>
      </c>
      <c r="G22" s="60">
        <v>442746</v>
      </c>
      <c r="H22" s="61">
        <v>283145</v>
      </c>
      <c r="I22" s="73">
        <f t="shared" si="9"/>
        <v>234.00993413059831</v>
      </c>
      <c r="J22" s="63"/>
      <c r="K22" s="60"/>
      <c r="L22" s="60"/>
      <c r="M22" s="74"/>
      <c r="N22" s="60">
        <f>+N20-N23</f>
        <v>470000</v>
      </c>
      <c r="O22" s="60">
        <f>+O20-O23</f>
        <v>378289</v>
      </c>
      <c r="P22" s="61">
        <v>410000</v>
      </c>
      <c r="Q22" s="38">
        <f t="shared" si="7"/>
        <v>87.2340425531915</v>
      </c>
    </row>
    <row r="23" spans="1:17" ht="11.25" customHeight="1" x14ac:dyDescent="0.2">
      <c r="A23" s="26" t="s">
        <v>20</v>
      </c>
      <c r="B23" s="46">
        <f t="shared" si="13"/>
        <v>20000</v>
      </c>
      <c r="C23" s="46">
        <f>+G23+K23+O23</f>
        <v>30000</v>
      </c>
      <c r="D23" s="39">
        <f t="shared" si="3"/>
        <v>0</v>
      </c>
      <c r="E23" s="84">
        <f t="shared" si="4"/>
        <v>0</v>
      </c>
      <c r="F23" s="29">
        <v>20000</v>
      </c>
      <c r="G23" s="64">
        <v>20000</v>
      </c>
      <c r="H23" s="65"/>
      <c r="I23" s="75">
        <f t="shared" si="9"/>
        <v>0</v>
      </c>
      <c r="J23" s="67"/>
      <c r="K23" s="64"/>
      <c r="L23" s="64"/>
      <c r="M23" s="76"/>
      <c r="N23" s="64"/>
      <c r="O23" s="64">
        <v>10000</v>
      </c>
      <c r="P23" s="65"/>
      <c r="Q23" s="39"/>
    </row>
    <row r="24" spans="1:17" ht="11.25" customHeight="1" x14ac:dyDescent="0.2">
      <c r="A24" s="9" t="s">
        <v>25</v>
      </c>
      <c r="B24" s="40">
        <f t="shared" si="13"/>
        <v>2943321</v>
      </c>
      <c r="C24" s="38">
        <f t="shared" si="12"/>
        <v>6486061</v>
      </c>
      <c r="D24" s="40">
        <f t="shared" si="3"/>
        <v>6154400</v>
      </c>
      <c r="E24" s="40">
        <f t="shared" si="4"/>
        <v>209.09713891213363</v>
      </c>
      <c r="F24" s="15">
        <v>2368483</v>
      </c>
      <c r="G24" s="68">
        <v>5860017</v>
      </c>
      <c r="H24" s="68">
        <v>5365757</v>
      </c>
      <c r="I24" s="60">
        <f t="shared" si="9"/>
        <v>226.54825894887148</v>
      </c>
      <c r="J24" s="68"/>
      <c r="K24" s="68"/>
      <c r="L24" s="68"/>
      <c r="M24" s="68"/>
      <c r="N24" s="68">
        <v>574838</v>
      </c>
      <c r="O24" s="68">
        <v>626044</v>
      </c>
      <c r="P24" s="68">
        <v>788643</v>
      </c>
      <c r="Q24" s="40">
        <f t="shared" si="7"/>
        <v>137.19395725404377</v>
      </c>
    </row>
    <row r="25" spans="1:17" ht="11.25" customHeight="1" x14ac:dyDescent="0.2">
      <c r="A25" s="24" t="s">
        <v>18</v>
      </c>
      <c r="B25" s="45">
        <f t="shared" si="13"/>
        <v>2019746</v>
      </c>
      <c r="C25" s="45">
        <f t="shared" si="12"/>
        <v>5149409</v>
      </c>
      <c r="D25" s="37">
        <f t="shared" si="3"/>
        <v>3436373</v>
      </c>
      <c r="E25" s="82">
        <f t="shared" si="4"/>
        <v>170.13886894688738</v>
      </c>
      <c r="F25" s="27">
        <f>+F24-F26</f>
        <v>1715292</v>
      </c>
      <c r="G25" s="56">
        <f>+G24-G26-G27</f>
        <v>4831601</v>
      </c>
      <c r="H25" s="57">
        <f>+H24-H26</f>
        <v>3033526</v>
      </c>
      <c r="I25" s="71">
        <f t="shared" si="9"/>
        <v>176.85187128488911</v>
      </c>
      <c r="J25" s="59"/>
      <c r="K25" s="56"/>
      <c r="L25" s="56"/>
      <c r="M25" s="72"/>
      <c r="N25" s="56">
        <f>+N24-N26</f>
        <v>304454</v>
      </c>
      <c r="O25" s="56">
        <f>+O24-O26</f>
        <v>317808</v>
      </c>
      <c r="P25" s="57">
        <v>402847</v>
      </c>
      <c r="Q25" s="37">
        <f t="shared" si="7"/>
        <v>132.31785425712917</v>
      </c>
    </row>
    <row r="26" spans="1:17" ht="11.25" customHeight="1" x14ac:dyDescent="0.2">
      <c r="A26" s="25" t="s">
        <v>19</v>
      </c>
      <c r="B26" s="32">
        <f t="shared" si="13"/>
        <v>923575</v>
      </c>
      <c r="C26" s="32">
        <f t="shared" si="12"/>
        <v>1327473</v>
      </c>
      <c r="D26" s="38">
        <f t="shared" si="3"/>
        <v>2718027</v>
      </c>
      <c r="E26" s="83">
        <f t="shared" si="4"/>
        <v>294.29412879300543</v>
      </c>
      <c r="F26" s="28">
        <f>638491+14700</f>
        <v>653191</v>
      </c>
      <c r="G26" s="60">
        <f>487257+427+531553</f>
        <v>1019237</v>
      </c>
      <c r="H26" s="61">
        <f>1193164+47159+1091908</f>
        <v>2332231</v>
      </c>
      <c r="I26" s="73">
        <f t="shared" si="9"/>
        <v>357.05191896397838</v>
      </c>
      <c r="J26" s="63"/>
      <c r="K26" s="60"/>
      <c r="L26" s="60"/>
      <c r="M26" s="74"/>
      <c r="N26" s="60">
        <v>270384</v>
      </c>
      <c r="O26" s="60">
        <f>304654+582+3000</f>
        <v>308236</v>
      </c>
      <c r="P26" s="61">
        <f>+P24-P25</f>
        <v>385796</v>
      </c>
      <c r="Q26" s="38">
        <f t="shared" si="7"/>
        <v>142.68447837150126</v>
      </c>
    </row>
    <row r="27" spans="1:17" ht="11.25" customHeight="1" x14ac:dyDescent="0.2">
      <c r="A27" s="25" t="s">
        <v>20</v>
      </c>
      <c r="B27" s="46">
        <f t="shared" si="11"/>
        <v>0</v>
      </c>
      <c r="C27" s="46">
        <f t="shared" si="12"/>
        <v>9179</v>
      </c>
      <c r="D27" s="39">
        <f t="shared" si="3"/>
        <v>0</v>
      </c>
      <c r="E27" s="84">
        <v>0</v>
      </c>
      <c r="F27" s="28"/>
      <c r="G27" s="60">
        <v>9179</v>
      </c>
      <c r="H27" s="61"/>
      <c r="I27" s="75"/>
      <c r="J27" s="63"/>
      <c r="K27" s="60"/>
      <c r="L27" s="60"/>
      <c r="M27" s="74"/>
      <c r="N27" s="60"/>
      <c r="O27" s="60"/>
      <c r="P27" s="61"/>
      <c r="Q27" s="39"/>
    </row>
    <row r="28" spans="1:17" ht="11.25" customHeight="1" x14ac:dyDescent="0.2">
      <c r="A28" s="9" t="s">
        <v>27</v>
      </c>
      <c r="B28" s="40">
        <f t="shared" ref="B28:B40" si="14">+F28+J28+N28</f>
        <v>47097539</v>
      </c>
      <c r="C28" s="38">
        <f t="shared" si="12"/>
        <v>35032342</v>
      </c>
      <c r="D28" s="40">
        <f>+H28+L28+P28</f>
        <v>42154697</v>
      </c>
      <c r="E28" s="40">
        <f t="shared" si="4"/>
        <v>89.505094947742393</v>
      </c>
      <c r="F28" s="15"/>
      <c r="G28" s="68"/>
      <c r="H28" s="68">
        <f>+H31</f>
        <v>840000</v>
      </c>
      <c r="I28" s="60"/>
      <c r="J28" s="68"/>
      <c r="K28" s="68"/>
      <c r="L28" s="68"/>
      <c r="M28" s="81"/>
      <c r="N28" s="68">
        <v>47097539</v>
      </c>
      <c r="O28" s="68">
        <v>35032342</v>
      </c>
      <c r="P28" s="68">
        <v>41314697</v>
      </c>
      <c r="Q28" s="40">
        <f t="shared" si="7"/>
        <v>87.721562266767279</v>
      </c>
    </row>
    <row r="29" spans="1:17" ht="11.25" customHeight="1" x14ac:dyDescent="0.2">
      <c r="A29" s="24" t="s">
        <v>18</v>
      </c>
      <c r="B29" s="45">
        <f t="shared" si="14"/>
        <v>0</v>
      </c>
      <c r="C29" s="45">
        <f t="shared" si="12"/>
        <v>0</v>
      </c>
      <c r="D29" s="37">
        <f t="shared" si="3"/>
        <v>539586</v>
      </c>
      <c r="E29" s="82"/>
      <c r="F29" s="27"/>
      <c r="G29" s="56"/>
      <c r="H29" s="57"/>
      <c r="I29" s="71"/>
      <c r="J29" s="59"/>
      <c r="K29" s="56"/>
      <c r="L29" s="56"/>
      <c r="M29" s="72"/>
      <c r="N29" s="56"/>
      <c r="O29" s="56"/>
      <c r="P29" s="57">
        <v>539586</v>
      </c>
      <c r="Q29" s="37"/>
    </row>
    <row r="30" spans="1:17" ht="11.25" customHeight="1" x14ac:dyDescent="0.2">
      <c r="A30" s="25" t="s">
        <v>19</v>
      </c>
      <c r="B30" s="32">
        <f t="shared" si="14"/>
        <v>9488571</v>
      </c>
      <c r="C30" s="32">
        <f t="shared" si="12"/>
        <v>9055005</v>
      </c>
      <c r="D30" s="38">
        <f t="shared" si="3"/>
        <v>7832967</v>
      </c>
      <c r="E30" s="83">
        <f t="shared" si="4"/>
        <v>82.551598127895133</v>
      </c>
      <c r="F30" s="28"/>
      <c r="G30" s="60"/>
      <c r="H30" s="61"/>
      <c r="I30" s="73"/>
      <c r="J30" s="63"/>
      <c r="K30" s="60"/>
      <c r="L30" s="60"/>
      <c r="M30" s="74"/>
      <c r="N30" s="60">
        <f>+N28-N31</f>
        <v>9488571</v>
      </c>
      <c r="O30" s="60">
        <f>9048623+6382</f>
        <v>9055005</v>
      </c>
      <c r="P30" s="61">
        <f>+P28-P29-P31</f>
        <v>7832967</v>
      </c>
      <c r="Q30" s="38">
        <f t="shared" si="7"/>
        <v>82.551598127895133</v>
      </c>
    </row>
    <row r="31" spans="1:17" ht="11.25" customHeight="1" x14ac:dyDescent="0.2">
      <c r="A31" s="25" t="s">
        <v>20</v>
      </c>
      <c r="B31" s="46">
        <f t="shared" si="14"/>
        <v>37608968</v>
      </c>
      <c r="C31" s="46">
        <f t="shared" si="12"/>
        <v>25977337</v>
      </c>
      <c r="D31" s="39">
        <f>+H31+L31+P31</f>
        <v>33782144</v>
      </c>
      <c r="E31" s="84">
        <f t="shared" si="4"/>
        <v>89.824703512204849</v>
      </c>
      <c r="F31" s="28"/>
      <c r="G31" s="60"/>
      <c r="H31" s="61">
        <v>840000</v>
      </c>
      <c r="I31" s="75"/>
      <c r="J31" s="63"/>
      <c r="K31" s="60"/>
      <c r="L31" s="60"/>
      <c r="M31" s="74"/>
      <c r="N31" s="60">
        <f>35446393+2135762+26813</f>
        <v>37608968</v>
      </c>
      <c r="O31" s="60">
        <f>+O28-O30</f>
        <v>25977337</v>
      </c>
      <c r="P31" s="61">
        <f>6819215+26122929</f>
        <v>32942144</v>
      </c>
      <c r="Q31" s="39">
        <f t="shared" si="7"/>
        <v>87.591193674870311</v>
      </c>
    </row>
    <row r="32" spans="1:17" ht="11.25" customHeight="1" x14ac:dyDescent="0.2">
      <c r="A32" s="9" t="s">
        <v>28</v>
      </c>
      <c r="B32" s="40">
        <f t="shared" si="14"/>
        <v>3752698</v>
      </c>
      <c r="C32" s="38">
        <f t="shared" si="12"/>
        <v>3763050</v>
      </c>
      <c r="D32" s="31">
        <f t="shared" si="3"/>
        <v>5339419</v>
      </c>
      <c r="E32" s="40">
        <f t="shared" si="4"/>
        <v>142.28213941009909</v>
      </c>
      <c r="F32" s="15">
        <v>2015803</v>
      </c>
      <c r="G32" s="68">
        <v>1986465</v>
      </c>
      <c r="H32" s="68">
        <v>2265106</v>
      </c>
      <c r="I32" s="60">
        <f t="shared" si="9"/>
        <v>112.3674287616399</v>
      </c>
      <c r="J32" s="68"/>
      <c r="K32" s="68"/>
      <c r="L32" s="68"/>
      <c r="M32" s="68"/>
      <c r="N32" s="68">
        <v>1736895</v>
      </c>
      <c r="O32" s="68">
        <v>1776585</v>
      </c>
      <c r="P32" s="68">
        <v>3074313</v>
      </c>
      <c r="Q32" s="40">
        <f t="shared" si="7"/>
        <v>177.00050952993703</v>
      </c>
    </row>
    <row r="33" spans="1:18" ht="11.25" customHeight="1" x14ac:dyDescent="0.2">
      <c r="A33" s="24" t="s">
        <v>18</v>
      </c>
      <c r="B33" s="45">
        <f t="shared" si="14"/>
        <v>2280021</v>
      </c>
      <c r="C33" s="37">
        <f t="shared" si="12"/>
        <v>1810488</v>
      </c>
      <c r="D33" s="15">
        <f t="shared" si="3"/>
        <v>1758603</v>
      </c>
      <c r="E33" s="37">
        <f t="shared" si="4"/>
        <v>77.131000109209523</v>
      </c>
      <c r="F33" s="27">
        <f>+F32-F34-F35</f>
        <v>983256</v>
      </c>
      <c r="G33" s="56">
        <f>+G32-G34</f>
        <v>967301</v>
      </c>
      <c r="H33" s="57">
        <f>+H32-H34-H35</f>
        <v>1059794</v>
      </c>
      <c r="I33" s="71">
        <f>+H33/F33*100</f>
        <v>107.78413759997396</v>
      </c>
      <c r="J33" s="59"/>
      <c r="K33" s="56"/>
      <c r="L33" s="56"/>
      <c r="M33" s="56"/>
      <c r="N33" s="56">
        <f>+N32-N34-N35</f>
        <v>1296765</v>
      </c>
      <c r="O33" s="56">
        <f>+O32-O34-O35</f>
        <v>843187</v>
      </c>
      <c r="P33" s="57">
        <f>+P32-P34-P35</f>
        <v>698809</v>
      </c>
      <c r="Q33" s="37">
        <f t="shared" si="7"/>
        <v>53.88863826522153</v>
      </c>
    </row>
    <row r="34" spans="1:18" ht="11.25" customHeight="1" x14ac:dyDescent="0.2">
      <c r="A34" s="25" t="s">
        <v>19</v>
      </c>
      <c r="B34" s="32">
        <f t="shared" si="14"/>
        <v>1139311</v>
      </c>
      <c r="C34" s="38">
        <f t="shared" si="12"/>
        <v>1840006</v>
      </c>
      <c r="D34" s="15">
        <f t="shared" si="3"/>
        <v>2239511</v>
      </c>
      <c r="E34" s="38">
        <f t="shared" si="4"/>
        <v>196.56713575134447</v>
      </c>
      <c r="F34" s="28">
        <f>265732+150+762120+240</f>
        <v>1028242</v>
      </c>
      <c r="G34" s="60">
        <f>256379+425+762120+240</f>
        <v>1019164</v>
      </c>
      <c r="H34" s="61">
        <f>348951+849816+240</f>
        <v>1199007</v>
      </c>
      <c r="I34" s="73">
        <f t="shared" si="9"/>
        <v>116.60747178193461</v>
      </c>
      <c r="J34" s="63"/>
      <c r="K34" s="60"/>
      <c r="L34" s="60"/>
      <c r="M34" s="60"/>
      <c r="N34" s="60">
        <v>111069</v>
      </c>
      <c r="O34" s="60">
        <f>294539+7717+114+518472</f>
        <v>820842</v>
      </c>
      <c r="P34" s="61">
        <f>588504+452000</f>
        <v>1040504</v>
      </c>
      <c r="Q34" s="38">
        <f t="shared" si="7"/>
        <v>936.80865047853138</v>
      </c>
    </row>
    <row r="35" spans="1:18" ht="11.25" customHeight="1" x14ac:dyDescent="0.2">
      <c r="A35" s="26" t="s">
        <v>20</v>
      </c>
      <c r="B35" s="46">
        <f t="shared" si="14"/>
        <v>333366</v>
      </c>
      <c r="C35" s="39">
        <f t="shared" si="12"/>
        <v>112556</v>
      </c>
      <c r="D35" s="15">
        <f>+H35+L35+P35</f>
        <v>1341305</v>
      </c>
      <c r="E35" s="39">
        <f t="shared" si="4"/>
        <v>402.35206949718929</v>
      </c>
      <c r="F35" s="29">
        <v>4305</v>
      </c>
      <c r="G35" s="18"/>
      <c r="H35" s="51">
        <v>6305</v>
      </c>
      <c r="I35" s="54">
        <f t="shared" si="9"/>
        <v>146.45760743321719</v>
      </c>
      <c r="J35" s="29"/>
      <c r="K35" s="18"/>
      <c r="L35" s="18"/>
      <c r="M35" s="18"/>
      <c r="N35" s="18">
        <f>1759+327302</f>
        <v>329061</v>
      </c>
      <c r="O35" s="18">
        <f>7363+105193</f>
        <v>112556</v>
      </c>
      <c r="P35" s="61">
        <f>980000+355000</f>
        <v>1335000</v>
      </c>
      <c r="Q35" s="38">
        <f t="shared" si="7"/>
        <v>405.69985504207426</v>
      </c>
    </row>
    <row r="36" spans="1:18" ht="11.25" customHeight="1" x14ac:dyDescent="0.2">
      <c r="A36" s="9" t="s">
        <v>29</v>
      </c>
      <c r="B36" s="40">
        <f t="shared" si="14"/>
        <v>5246519</v>
      </c>
      <c r="C36" s="38">
        <f t="shared" si="12"/>
        <v>6127997</v>
      </c>
      <c r="D36" s="15">
        <f>+H36+L36+P36</f>
        <v>7552189</v>
      </c>
      <c r="E36" s="40">
        <f t="shared" si="4"/>
        <v>143.94666253948571</v>
      </c>
      <c r="F36" s="15"/>
      <c r="G36" s="15">
        <v>215046</v>
      </c>
      <c r="H36" s="15">
        <v>147932</v>
      </c>
      <c r="I36" s="17"/>
      <c r="J36" s="15"/>
      <c r="K36" s="15"/>
      <c r="L36" s="15"/>
      <c r="M36" s="20"/>
      <c r="N36" s="15">
        <v>5246519</v>
      </c>
      <c r="O36" s="15">
        <v>5912951</v>
      </c>
      <c r="P36" s="15">
        <v>7404257</v>
      </c>
      <c r="Q36" s="40">
        <f t="shared" si="7"/>
        <v>141.12704061492963</v>
      </c>
    </row>
    <row r="37" spans="1:18" ht="11.25" customHeight="1" x14ac:dyDescent="0.2">
      <c r="A37" s="24" t="s">
        <v>18</v>
      </c>
      <c r="B37" s="45">
        <f t="shared" si="14"/>
        <v>2181110</v>
      </c>
      <c r="C37" s="37">
        <f t="shared" si="12"/>
        <v>2308022</v>
      </c>
      <c r="D37" s="15">
        <f t="shared" si="3"/>
        <v>2949516</v>
      </c>
      <c r="E37" s="37">
        <f t="shared" si="4"/>
        <v>135.2300434182595</v>
      </c>
      <c r="F37" s="27"/>
      <c r="G37" s="41"/>
      <c r="H37" s="49"/>
      <c r="I37" s="52"/>
      <c r="J37" s="27"/>
      <c r="K37" s="16"/>
      <c r="L37" s="16"/>
      <c r="M37" s="21"/>
      <c r="N37" s="16">
        <f>+N36-N38-N39</f>
        <v>2181110</v>
      </c>
      <c r="O37" s="16">
        <f>+O36-O38-O39</f>
        <v>2308022</v>
      </c>
      <c r="P37" s="49">
        <v>2949516</v>
      </c>
      <c r="Q37" s="37">
        <f t="shared" si="7"/>
        <v>135.2300434182595</v>
      </c>
    </row>
    <row r="38" spans="1:18" ht="11.25" customHeight="1" x14ac:dyDescent="0.2">
      <c r="A38" s="25" t="s">
        <v>19</v>
      </c>
      <c r="B38" s="32">
        <f t="shared" si="14"/>
        <v>2348709</v>
      </c>
      <c r="C38" s="38">
        <f t="shared" si="12"/>
        <v>3774402</v>
      </c>
      <c r="D38" s="15">
        <f t="shared" si="3"/>
        <v>2759673</v>
      </c>
      <c r="E38" s="38">
        <f t="shared" si="4"/>
        <v>117.49744221187044</v>
      </c>
      <c r="F38" s="28"/>
      <c r="G38" s="42">
        <v>215046</v>
      </c>
      <c r="H38" s="50">
        <v>147932</v>
      </c>
      <c r="I38" s="53"/>
      <c r="J38" s="28"/>
      <c r="K38" s="17"/>
      <c r="L38" s="17"/>
      <c r="M38" s="22"/>
      <c r="N38" s="17">
        <f>2344209+1500+3000</f>
        <v>2348709</v>
      </c>
      <c r="O38" s="17">
        <f>3558062+1294</f>
        <v>3559356</v>
      </c>
      <c r="P38" s="50">
        <f>+P36-P37-P39</f>
        <v>2611741</v>
      </c>
      <c r="Q38" s="38">
        <f t="shared" si="7"/>
        <v>111.19900336738182</v>
      </c>
    </row>
    <row r="39" spans="1:18" ht="11.25" customHeight="1" x14ac:dyDescent="0.2">
      <c r="A39" s="26" t="s">
        <v>20</v>
      </c>
      <c r="B39" s="46">
        <f t="shared" si="14"/>
        <v>716700</v>
      </c>
      <c r="C39" s="39">
        <f t="shared" si="12"/>
        <v>45573</v>
      </c>
      <c r="D39" s="15">
        <f>+H39+L39+P39</f>
        <v>1843000</v>
      </c>
      <c r="E39" s="39">
        <f t="shared" si="4"/>
        <v>257.15083019394444</v>
      </c>
      <c r="F39" s="29"/>
      <c r="G39" s="43"/>
      <c r="H39" s="51"/>
      <c r="I39" s="54"/>
      <c r="J39" s="29"/>
      <c r="K39" s="18"/>
      <c r="L39" s="18"/>
      <c r="M39" s="19"/>
      <c r="N39" s="18">
        <f>516700+200000</f>
        <v>716700</v>
      </c>
      <c r="O39" s="18">
        <f>9505+36068</f>
        <v>45573</v>
      </c>
      <c r="P39" s="65">
        <f>1693000+150000</f>
        <v>1843000</v>
      </c>
      <c r="Q39" s="39">
        <f t="shared" si="7"/>
        <v>257.15083019394444</v>
      </c>
    </row>
    <row r="40" spans="1:18" ht="11.25" customHeight="1" x14ac:dyDescent="0.2">
      <c r="A40" s="9" t="s">
        <v>30</v>
      </c>
      <c r="B40" s="40">
        <f t="shared" si="14"/>
        <v>364185</v>
      </c>
      <c r="C40" s="38">
        <f t="shared" si="12"/>
        <v>773494</v>
      </c>
      <c r="D40" s="15">
        <f>+H40+L40+P40</f>
        <v>859555</v>
      </c>
      <c r="E40" s="40">
        <f t="shared" si="4"/>
        <v>236.02152752035366</v>
      </c>
      <c r="F40" s="15"/>
      <c r="G40" s="15">
        <v>8349</v>
      </c>
      <c r="H40" s="15"/>
      <c r="I40" s="17"/>
      <c r="J40" s="15"/>
      <c r="K40" s="15"/>
      <c r="L40" s="15"/>
      <c r="M40" s="20"/>
      <c r="N40" s="15">
        <v>364185</v>
      </c>
      <c r="O40" s="15">
        <v>765145</v>
      </c>
      <c r="P40" s="15">
        <v>859555</v>
      </c>
      <c r="Q40" s="40">
        <f t="shared" si="7"/>
        <v>236.02152752035366</v>
      </c>
      <c r="R40" s="44"/>
    </row>
    <row r="41" spans="1:18" ht="11.25" customHeight="1" x14ac:dyDescent="0.2">
      <c r="A41" s="24" t="s">
        <v>31</v>
      </c>
      <c r="B41" s="45">
        <f t="shared" si="11"/>
        <v>164185</v>
      </c>
      <c r="C41" s="37">
        <f t="shared" si="12"/>
        <v>763494</v>
      </c>
      <c r="D41" s="15">
        <f t="shared" si="3"/>
        <v>659555</v>
      </c>
      <c r="E41" s="37">
        <f t="shared" si="4"/>
        <v>401.71452934190091</v>
      </c>
      <c r="F41" s="27"/>
      <c r="G41" s="16">
        <v>8349</v>
      </c>
      <c r="H41" s="49"/>
      <c r="I41" s="52"/>
      <c r="J41" s="27"/>
      <c r="K41" s="16"/>
      <c r="L41" s="16"/>
      <c r="M41" s="21"/>
      <c r="N41" s="16">
        <v>164185</v>
      </c>
      <c r="O41" s="16">
        <v>755145</v>
      </c>
      <c r="P41" s="49">
        <v>659555</v>
      </c>
      <c r="Q41" s="37">
        <f t="shared" si="7"/>
        <v>401.71452934190091</v>
      </c>
    </row>
    <row r="42" spans="1:18" ht="11.25" customHeight="1" x14ac:dyDescent="0.2">
      <c r="A42" s="26" t="s">
        <v>23</v>
      </c>
      <c r="B42" s="46">
        <f t="shared" si="11"/>
        <v>200000</v>
      </c>
      <c r="C42" s="39">
        <f t="shared" si="12"/>
        <v>0</v>
      </c>
      <c r="D42" s="15">
        <f t="shared" si="3"/>
        <v>200000</v>
      </c>
      <c r="E42" s="39">
        <f t="shared" si="4"/>
        <v>100</v>
      </c>
      <c r="F42" s="29"/>
      <c r="G42" s="18"/>
      <c r="H42" s="51"/>
      <c r="I42" s="54"/>
      <c r="J42" s="29"/>
      <c r="K42" s="18"/>
      <c r="L42" s="18"/>
      <c r="M42" s="19"/>
      <c r="N42" s="18">
        <v>200000</v>
      </c>
      <c r="O42" s="18"/>
      <c r="P42" s="51">
        <v>200000</v>
      </c>
      <c r="Q42" s="39">
        <f t="shared" si="7"/>
        <v>100</v>
      </c>
    </row>
    <row r="43" spans="1:18" ht="11.25" customHeight="1" x14ac:dyDescent="0.15">
      <c r="A43" s="14" t="s">
        <v>34</v>
      </c>
      <c r="B43" s="40">
        <f>+F43+J43+N43</f>
        <v>105585045</v>
      </c>
      <c r="C43" s="38">
        <f>+C8+C12+C16+C20+C24+C28+C32+C36++C40</f>
        <v>99829746</v>
      </c>
      <c r="D43" s="15">
        <f t="shared" ref="D43:D48" si="15">+H43+L43+P43</f>
        <v>113483709</v>
      </c>
      <c r="E43" s="40">
        <f t="shared" si="4"/>
        <v>107.48085488811412</v>
      </c>
      <c r="F43" s="23">
        <f>+F8+F12+F16+F20+F24+F32</f>
        <v>43814640</v>
      </c>
      <c r="G43" s="23">
        <f>+G8+G12+G16+G20+G24+G32+G36</f>
        <v>48188042</v>
      </c>
      <c r="H43" s="23">
        <f>+H8+H12+H16+H20+H24+H32+H36+H28</f>
        <v>53793258</v>
      </c>
      <c r="I43" s="17">
        <f t="shared" si="9"/>
        <v>122.77462053779284</v>
      </c>
      <c r="J43" s="23">
        <f t="shared" ref="J43:M43" si="16">+J8+J12+J16+J20+J24+J32</f>
        <v>1249553</v>
      </c>
      <c r="K43" s="23">
        <f t="shared" si="16"/>
        <v>1062639</v>
      </c>
      <c r="L43" s="23">
        <f>+L8+L12+L16+L20+L24+L32</f>
        <v>1367393</v>
      </c>
      <c r="M43" s="23">
        <f t="shared" si="16"/>
        <v>218.76778832853773</v>
      </c>
      <c r="N43" s="23">
        <f>+N8+N12+N16+N20+N24+N28+N36+N32+N40</f>
        <v>60520852</v>
      </c>
      <c r="O43" s="23">
        <f>+O8+O12+O16+O20+O24+O32+O28+O36+O40</f>
        <v>50570716</v>
      </c>
      <c r="P43" s="23">
        <f>+P8+P12+P16+P20+P24+P32+P28+P36+P40</f>
        <v>58323058</v>
      </c>
      <c r="Q43" s="40">
        <f t="shared" si="7"/>
        <v>96.368534269808364</v>
      </c>
    </row>
    <row r="44" spans="1:18" ht="11.25" customHeight="1" x14ac:dyDescent="0.2">
      <c r="A44" s="24" t="s">
        <v>18</v>
      </c>
      <c r="B44" s="45">
        <f>+F44+J44+N44</f>
        <v>41736279</v>
      </c>
      <c r="C44" s="37">
        <f t="shared" ref="C44:C46" si="17">+G44+K44+O44</f>
        <v>44261960</v>
      </c>
      <c r="D44" s="15">
        <f t="shared" si="15"/>
        <v>48879633</v>
      </c>
      <c r="E44" s="37">
        <f t="shared" si="4"/>
        <v>117.11545487799715</v>
      </c>
      <c r="F44" s="27">
        <f>+F9+F13+F17+F21+F25+F33</f>
        <v>35878979</v>
      </c>
      <c r="G44" s="16">
        <f>+G9+G13+G17+G21+G25+G33</f>
        <v>39431258</v>
      </c>
      <c r="H44" s="16">
        <f>+H9+H13+H17+H21+H25+H33+H29+H37</f>
        <v>42714525</v>
      </c>
      <c r="I44" s="52">
        <f t="shared" si="9"/>
        <v>119.0516736833565</v>
      </c>
      <c r="J44" s="27">
        <f>+J9+J17</f>
        <v>920472</v>
      </c>
      <c r="K44" s="16">
        <f>+K9+K17</f>
        <v>734200</v>
      </c>
      <c r="L44" s="16">
        <f>+L9+L17</f>
        <v>1028109</v>
      </c>
      <c r="M44" s="16"/>
      <c r="N44" s="16">
        <f>+N9+N17+N25+N33+N37</f>
        <v>4936828</v>
      </c>
      <c r="O44" s="16">
        <f>+O9+O17+O25+O33+O37</f>
        <v>4096502</v>
      </c>
      <c r="P44" s="16">
        <f>+P9+P17+P25+P33+P37+P29+P13</f>
        <v>5136999</v>
      </c>
      <c r="Q44" s="37">
        <f t="shared" si="7"/>
        <v>104.05464804526308</v>
      </c>
    </row>
    <row r="45" spans="1:18" ht="11.25" customHeight="1" x14ac:dyDescent="0.2">
      <c r="A45" s="25" t="s">
        <v>19</v>
      </c>
      <c r="B45" s="32">
        <f>+F45+J45+N45</f>
        <v>23046163</v>
      </c>
      <c r="C45" s="38">
        <f t="shared" si="17"/>
        <v>27153994</v>
      </c>
      <c r="D45" s="15">
        <f t="shared" si="15"/>
        <v>26148595</v>
      </c>
      <c r="E45" s="38">
        <f t="shared" si="4"/>
        <v>113.46181574781016</v>
      </c>
      <c r="F45" s="28">
        <f>+F14+F18+F22+F26+F34</f>
        <v>6094241</v>
      </c>
      <c r="G45" s="17">
        <f>+G14+G18+G22+G26+G34+G38+G10+G41</f>
        <v>6538603</v>
      </c>
      <c r="H45" s="16">
        <f t="shared" ref="H45:H46" si="18">+H10+H14+H18+H22+H26+H34+H30+H38</f>
        <v>9101956</v>
      </c>
      <c r="I45" s="53">
        <f t="shared" si="9"/>
        <v>149.35339774058821</v>
      </c>
      <c r="J45" s="28">
        <f>+J18</f>
        <v>329081</v>
      </c>
      <c r="K45" s="17">
        <f>+K18</f>
        <v>328439</v>
      </c>
      <c r="L45" s="17">
        <f>+L18</f>
        <v>339284</v>
      </c>
      <c r="M45" s="17"/>
      <c r="N45" s="17">
        <f>+N10+N14+N18+N22+N26+N30+N34+N38+N41</f>
        <v>16622841</v>
      </c>
      <c r="O45" s="17">
        <f>+O10+O14+O18+O22+O26+O30+O34+O38+O41</f>
        <v>20286952</v>
      </c>
      <c r="P45" s="17">
        <f>+P10+P14+P18+P22+P26+P30+P34+P38+P41</f>
        <v>16707355</v>
      </c>
      <c r="Q45" s="38">
        <f t="shared" si="7"/>
        <v>100.50842091312791</v>
      </c>
    </row>
    <row r="46" spans="1:18" ht="11.25" customHeight="1" x14ac:dyDescent="0.2">
      <c r="A46" s="25" t="s">
        <v>20</v>
      </c>
      <c r="B46" s="32">
        <f>+F46+J46+N46</f>
        <v>40602603</v>
      </c>
      <c r="C46" s="38">
        <f t="shared" si="17"/>
        <v>28403792</v>
      </c>
      <c r="D46" s="15">
        <f t="shared" si="15"/>
        <v>38255481</v>
      </c>
      <c r="E46" s="38">
        <f t="shared" si="4"/>
        <v>94.219281950962596</v>
      </c>
      <c r="F46" s="28">
        <f>+F15+F19+F35+F23</f>
        <v>1841420</v>
      </c>
      <c r="G46" s="17">
        <f>+G15+G19+G35+G27+G23</f>
        <v>2226530</v>
      </c>
      <c r="H46" s="16">
        <f t="shared" si="18"/>
        <v>1976777</v>
      </c>
      <c r="I46" s="53">
        <f t="shared" si="9"/>
        <v>107.35068588372016</v>
      </c>
      <c r="J46" s="28"/>
      <c r="K46" s="17"/>
      <c r="L46" s="17"/>
      <c r="M46" s="17"/>
      <c r="N46" s="17">
        <f>+N11+N19+N23+N27+N31+N35+N39</f>
        <v>38761183</v>
      </c>
      <c r="O46" s="17">
        <f>+O11+O19+O23+O27+O31+O35+O39</f>
        <v>26177262</v>
      </c>
      <c r="P46" s="17">
        <f>+P11+P19+P23+P27+P31+P39+P15+P35</f>
        <v>36278704</v>
      </c>
      <c r="Q46" s="38">
        <f t="shared" si="7"/>
        <v>93.595450892198002</v>
      </c>
    </row>
    <row r="47" spans="1:18" ht="11.25" customHeight="1" x14ac:dyDescent="0.2">
      <c r="A47" s="26" t="s">
        <v>26</v>
      </c>
      <c r="B47" s="46">
        <f t="shared" si="11"/>
        <v>200000</v>
      </c>
      <c r="C47" s="39">
        <f t="shared" ref="C47" si="19">+G47+K47+O47</f>
        <v>0</v>
      </c>
      <c r="D47" s="15">
        <f t="shared" si="15"/>
        <v>200000</v>
      </c>
      <c r="E47" s="39">
        <f t="shared" si="4"/>
        <v>100</v>
      </c>
      <c r="F47" s="29"/>
      <c r="G47" s="18"/>
      <c r="H47" s="51"/>
      <c r="I47" s="54"/>
      <c r="J47" s="29"/>
      <c r="K47" s="18"/>
      <c r="L47" s="18"/>
      <c r="M47" s="19"/>
      <c r="N47" s="18">
        <f>+N42</f>
        <v>200000</v>
      </c>
      <c r="O47" s="18">
        <f>+O42</f>
        <v>0</v>
      </c>
      <c r="P47" s="51">
        <f>+P42</f>
        <v>200000</v>
      </c>
      <c r="Q47" s="39">
        <f t="shared" si="7"/>
        <v>100</v>
      </c>
    </row>
    <row r="48" spans="1:18" ht="10.15" customHeight="1" x14ac:dyDescent="0.2">
      <c r="A48" s="10" t="s">
        <v>32</v>
      </c>
      <c r="B48" s="85">
        <f t="shared" si="11"/>
        <v>105585045</v>
      </c>
      <c r="C48" s="66">
        <f>+G48+K48+O48</f>
        <v>99819746</v>
      </c>
      <c r="D48" s="68">
        <f t="shared" si="15"/>
        <v>113483709</v>
      </c>
      <c r="E48" s="31">
        <f t="shared" si="4"/>
        <v>107.48085488811412</v>
      </c>
      <c r="F48" s="15">
        <f>SUM(F44:F47)</f>
        <v>43814640</v>
      </c>
      <c r="G48" s="15">
        <f>+G44+G45+G46</f>
        <v>48196391</v>
      </c>
      <c r="H48" s="15">
        <f>+H44+H45+H46</f>
        <v>53793258</v>
      </c>
      <c r="I48" s="55">
        <f t="shared" si="9"/>
        <v>122.77462053779284</v>
      </c>
      <c r="J48" s="34">
        <f>SUM(J44:J47)</f>
        <v>1249553</v>
      </c>
      <c r="K48" s="15">
        <f>SUM(K44:K47)</f>
        <v>1062639</v>
      </c>
      <c r="L48" s="15">
        <f>SUM(L44:L47)</f>
        <v>1367393</v>
      </c>
      <c r="M48" s="15">
        <f>+L48/J48*100</f>
        <v>109.43057237268047</v>
      </c>
      <c r="N48" s="15">
        <f>SUM(N44:N47)</f>
        <v>60520852</v>
      </c>
      <c r="O48" s="15">
        <f>SUM(O44:O47)</f>
        <v>50560716</v>
      </c>
      <c r="P48" s="15">
        <f>SUM(P44:P47)</f>
        <v>58323058</v>
      </c>
      <c r="Q48" s="31">
        <f t="shared" si="7"/>
        <v>96.368534269808364</v>
      </c>
    </row>
    <row r="49" spans="1:17" x14ac:dyDescent="0.2">
      <c r="D49" s="44"/>
      <c r="Q49" s="13"/>
    </row>
    <row r="50" spans="1:17" x14ac:dyDescent="0.2">
      <c r="A50" s="13" t="s">
        <v>38</v>
      </c>
      <c r="D50" s="44"/>
      <c r="F50" s="86"/>
      <c r="H50" s="44"/>
      <c r="I50" s="13" t="s">
        <v>35</v>
      </c>
      <c r="M50" s="44"/>
    </row>
    <row r="51" spans="1:17" x14ac:dyDescent="0.2">
      <c r="A51" t="s">
        <v>36</v>
      </c>
      <c r="F51" s="13"/>
      <c r="H51" s="44"/>
      <c r="I51" t="s">
        <v>37</v>
      </c>
    </row>
    <row r="52" spans="1:17" x14ac:dyDescent="0.2">
      <c r="B52" s="44"/>
      <c r="D52" s="44"/>
      <c r="P52" s="44"/>
    </row>
    <row r="53" spans="1:17" x14ac:dyDescent="0.2">
      <c r="D53" s="44"/>
    </row>
    <row r="54" spans="1:17" x14ac:dyDescent="0.2">
      <c r="B54" s="44"/>
      <c r="C54" s="44"/>
      <c r="D54" s="44"/>
    </row>
  </sheetData>
  <mergeCells count="7">
    <mergeCell ref="B4:E4"/>
    <mergeCell ref="F4:I4"/>
    <mergeCell ref="J4:M4"/>
    <mergeCell ref="N4:Q4"/>
    <mergeCell ref="A1:Q1"/>
    <mergeCell ref="A2:Q2"/>
    <mergeCell ref="A3:Q3"/>
  </mergeCells>
  <pageMargins left="0" right="0.19685039370078741" top="0" bottom="0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HristinaAleksandrova</dc:creator>
  <cp:lastModifiedBy>Потребител на Windows</cp:lastModifiedBy>
  <cp:lastPrinted>2021-02-17T14:23:43Z</cp:lastPrinted>
  <dcterms:created xsi:type="dcterms:W3CDTF">2020-01-17T07:48:20Z</dcterms:created>
  <dcterms:modified xsi:type="dcterms:W3CDTF">2021-02-17T14:24:42Z</dcterms:modified>
</cp:coreProperties>
</file>